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scar Gil\Desktop\bancolombia\basico Y EVIDENCIAS 1-2026\EVIDENCIAS 1-2026\BASICO\TERCER MOMENTO\LOGISTICA\"/>
    </mc:Choice>
  </mc:AlternateContent>
  <xr:revisionPtr revIDLastSave="0" documentId="13_ncr:1_{3E7D2A35-4396-4A1A-B38B-B8963830160B}" xr6:coauthVersionLast="47" xr6:coauthVersionMax="47" xr10:uidLastSave="{00000000-0000-0000-0000-000000000000}"/>
  <bookViews>
    <workbookView xWindow="-108" yWindow="-108" windowWidth="23256" windowHeight="12456" tabRatio="611" activeTab="2" xr2:uid="{00000000-000D-0000-FFFF-FFFF00000000}"/>
  </bookViews>
  <sheets>
    <sheet name="Instrucciones" sheetId="11" r:id="rId1"/>
    <sheet name="Empleados 2026" sheetId="1" r:id="rId2"/>
    <sheet name="Muestra dashboard" sheetId="17" r:id="rId3"/>
  </sheets>
  <definedNames>
    <definedName name="_xlnm._FilterDatabase" localSheetId="1" hidden="1">'Empleados 2026'!$A$1:$S$40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2" i="1" l="1"/>
  <c r="AD3" i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C2" i="1"/>
  <c r="AC3" i="1"/>
  <c r="AC4" i="1"/>
  <c r="AC5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Y2" i="1"/>
  <c r="Y3" i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X2" i="1"/>
  <c r="X3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W2" i="1"/>
  <c r="W3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R3" i="1"/>
  <c r="R4" i="1"/>
  <c r="R5" i="1"/>
  <c r="R6" i="1"/>
  <c r="R7" i="1"/>
  <c r="R8" i="1"/>
  <c r="R9" i="1"/>
  <c r="R10" i="1"/>
  <c r="R15" i="1"/>
  <c r="R16" i="1"/>
  <c r="R17" i="1"/>
  <c r="R18" i="1"/>
  <c r="R19" i="1"/>
  <c r="R20" i="1"/>
  <c r="R21" i="1"/>
  <c r="R22" i="1"/>
  <c r="R27" i="1"/>
  <c r="R28" i="1"/>
  <c r="R29" i="1"/>
  <c r="R30" i="1"/>
  <c r="R31" i="1"/>
  <c r="R32" i="1"/>
  <c r="R33" i="1"/>
  <c r="R34" i="1"/>
  <c r="R39" i="1"/>
  <c r="R40" i="1"/>
  <c r="N2" i="1"/>
  <c r="N3" i="1"/>
  <c r="N4" i="1"/>
  <c r="N14" i="1"/>
  <c r="N15" i="1"/>
  <c r="N16" i="1"/>
  <c r="N26" i="1"/>
  <c r="N27" i="1"/>
  <c r="N28" i="1"/>
  <c r="N38" i="1"/>
  <c r="N39" i="1"/>
  <c r="N40" i="1"/>
  <c r="H2" i="1"/>
  <c r="L2" i="1" s="1"/>
  <c r="H3" i="1"/>
  <c r="J3" i="1" s="1"/>
  <c r="K3" i="1" s="1"/>
  <c r="H4" i="1"/>
  <c r="O4" i="1" s="1"/>
  <c r="H14" i="1"/>
  <c r="L14" i="1" s="1"/>
  <c r="H15" i="1"/>
  <c r="L15" i="1" s="1"/>
  <c r="H16" i="1"/>
  <c r="L16" i="1" s="1"/>
  <c r="H26" i="1"/>
  <c r="L26" i="1" s="1"/>
  <c r="H27" i="1"/>
  <c r="L27" i="1" s="1"/>
  <c r="H28" i="1"/>
  <c r="L28" i="1" s="1"/>
  <c r="H38" i="1"/>
  <c r="L38" i="1" s="1"/>
  <c r="H39" i="1"/>
  <c r="L39" i="1" s="1"/>
  <c r="H40" i="1"/>
  <c r="J40" i="1" s="1"/>
  <c r="K40" i="1" s="1"/>
  <c r="G2" i="1"/>
  <c r="R2" i="1" s="1"/>
  <c r="G3" i="1"/>
  <c r="G4" i="1"/>
  <c r="G5" i="1"/>
  <c r="N5" i="1" s="1"/>
  <c r="G6" i="1"/>
  <c r="N6" i="1" s="1"/>
  <c r="G7" i="1"/>
  <c r="N7" i="1" s="1"/>
  <c r="G8" i="1"/>
  <c r="N8" i="1" s="1"/>
  <c r="G9" i="1"/>
  <c r="H9" i="1" s="1"/>
  <c r="G10" i="1"/>
  <c r="N10" i="1" s="1"/>
  <c r="G11" i="1"/>
  <c r="R11" i="1" s="1"/>
  <c r="G12" i="1"/>
  <c r="N12" i="1" s="1"/>
  <c r="G13" i="1"/>
  <c r="N13" i="1" s="1"/>
  <c r="G14" i="1"/>
  <c r="R14" i="1" s="1"/>
  <c r="G15" i="1"/>
  <c r="G16" i="1"/>
  <c r="G17" i="1"/>
  <c r="N17" i="1" s="1"/>
  <c r="G18" i="1"/>
  <c r="N18" i="1" s="1"/>
  <c r="G19" i="1"/>
  <c r="N19" i="1" s="1"/>
  <c r="G20" i="1"/>
  <c r="N20" i="1" s="1"/>
  <c r="G21" i="1"/>
  <c r="N21" i="1" s="1"/>
  <c r="G22" i="1"/>
  <c r="N22" i="1" s="1"/>
  <c r="G23" i="1"/>
  <c r="R23" i="1" s="1"/>
  <c r="G24" i="1"/>
  <c r="R24" i="1" s="1"/>
  <c r="G25" i="1"/>
  <c r="N25" i="1" s="1"/>
  <c r="G26" i="1"/>
  <c r="R26" i="1" s="1"/>
  <c r="G27" i="1"/>
  <c r="G28" i="1"/>
  <c r="G29" i="1"/>
  <c r="N29" i="1" s="1"/>
  <c r="G30" i="1"/>
  <c r="N30" i="1" s="1"/>
  <c r="G31" i="1"/>
  <c r="N31" i="1" s="1"/>
  <c r="G32" i="1"/>
  <c r="N32" i="1" s="1"/>
  <c r="G33" i="1"/>
  <c r="H33" i="1" s="1"/>
  <c r="G34" i="1"/>
  <c r="N34" i="1" s="1"/>
  <c r="G35" i="1"/>
  <c r="R35" i="1" s="1"/>
  <c r="G36" i="1"/>
  <c r="R36" i="1" s="1"/>
  <c r="G37" i="1"/>
  <c r="H37" i="1" s="1"/>
  <c r="G38" i="1"/>
  <c r="R38" i="1" s="1"/>
  <c r="G39" i="1"/>
  <c r="G40" i="1"/>
  <c r="O37" i="1" l="1"/>
  <c r="L37" i="1"/>
  <c r="I37" i="1"/>
  <c r="L33" i="1"/>
  <c r="J33" i="1"/>
  <c r="K33" i="1" s="1"/>
  <c r="O33" i="1"/>
  <c r="I33" i="1"/>
  <c r="O9" i="1"/>
  <c r="I9" i="1"/>
  <c r="L9" i="1"/>
  <c r="J9" i="1"/>
  <c r="K9" i="1" s="1"/>
  <c r="H25" i="1"/>
  <c r="J25" i="1" s="1"/>
  <c r="I40" i="1"/>
  <c r="I28" i="1"/>
  <c r="N37" i="1"/>
  <c r="O40" i="1"/>
  <c r="O16" i="1"/>
  <c r="H24" i="1"/>
  <c r="I39" i="1"/>
  <c r="I15" i="1"/>
  <c r="N36" i="1"/>
  <c r="O39" i="1"/>
  <c r="H23" i="1"/>
  <c r="I38" i="1"/>
  <c r="I14" i="1"/>
  <c r="N23" i="1"/>
  <c r="O26" i="1"/>
  <c r="H22" i="1"/>
  <c r="J28" i="1"/>
  <c r="K28" i="1" s="1"/>
  <c r="J4" i="1"/>
  <c r="K4" i="1" s="1"/>
  <c r="H21" i="1"/>
  <c r="J27" i="1"/>
  <c r="K27" i="1" s="1"/>
  <c r="N33" i="1"/>
  <c r="N9" i="1"/>
  <c r="H32" i="1"/>
  <c r="H20" i="1"/>
  <c r="H8" i="1"/>
  <c r="J38" i="1"/>
  <c r="K38" i="1" s="1"/>
  <c r="J26" i="1"/>
  <c r="K26" i="1" s="1"/>
  <c r="J14" i="1"/>
  <c r="K14" i="1" s="1"/>
  <c r="J2" i="1"/>
  <c r="K2" i="1" s="1"/>
  <c r="I16" i="1"/>
  <c r="O28" i="1"/>
  <c r="I27" i="1"/>
  <c r="N24" i="1"/>
  <c r="O15" i="1"/>
  <c r="H35" i="1"/>
  <c r="I26" i="1"/>
  <c r="N35" i="1"/>
  <c r="O14" i="1"/>
  <c r="H34" i="1"/>
  <c r="J16" i="1"/>
  <c r="K16" i="1" s="1"/>
  <c r="J39" i="1"/>
  <c r="K39" i="1" s="1"/>
  <c r="H31" i="1"/>
  <c r="H19" i="1"/>
  <c r="H7" i="1"/>
  <c r="J37" i="1"/>
  <c r="K37" i="1" s="1"/>
  <c r="J13" i="1"/>
  <c r="K13" i="1" s="1"/>
  <c r="L40" i="1"/>
  <c r="L4" i="1"/>
  <c r="R37" i="1"/>
  <c r="R25" i="1"/>
  <c r="R13" i="1"/>
  <c r="H13" i="1"/>
  <c r="I4" i="1"/>
  <c r="H36" i="1"/>
  <c r="O27" i="1"/>
  <c r="O38" i="1"/>
  <c r="J15" i="1"/>
  <c r="K15" i="1" s="1"/>
  <c r="H30" i="1"/>
  <c r="H18" i="1"/>
  <c r="H6" i="1"/>
  <c r="L3" i="1"/>
  <c r="R12" i="1"/>
  <c r="H12" i="1"/>
  <c r="I3" i="1"/>
  <c r="O3" i="1"/>
  <c r="H11" i="1"/>
  <c r="I2" i="1"/>
  <c r="N11" i="1"/>
  <c r="O2" i="1"/>
  <c r="H10" i="1"/>
  <c r="H29" i="1"/>
  <c r="H17" i="1"/>
  <c r="H5" i="1"/>
  <c r="Q40" i="1"/>
  <c r="M2" i="1"/>
  <c r="Q39" i="1"/>
  <c r="Q38" i="1"/>
  <c r="Q37" i="1"/>
  <c r="S37" i="1" s="1"/>
  <c r="Q28" i="1"/>
  <c r="Q14" i="1"/>
  <c r="Q27" i="1"/>
  <c r="Q26" i="1"/>
  <c r="Q4" i="1"/>
  <c r="Q3" i="1"/>
  <c r="Q2" i="1"/>
  <c r="M3" i="1"/>
  <c r="M39" i="1"/>
  <c r="P39" i="1" s="1"/>
  <c r="M38" i="1"/>
  <c r="P38" i="1" s="1"/>
  <c r="V38" i="1" s="1"/>
  <c r="AA38" i="1" s="1"/>
  <c r="M16" i="1"/>
  <c r="M28" i="1"/>
  <c r="M27" i="1"/>
  <c r="P27" i="1" s="1"/>
  <c r="V27" i="1" s="1"/>
  <c r="AA27" i="1" s="1"/>
  <c r="M26" i="1"/>
  <c r="M40" i="1"/>
  <c r="M37" i="1"/>
  <c r="P37" i="1" s="1"/>
  <c r="V37" i="1" s="1"/>
  <c r="AA37" i="1" s="1"/>
  <c r="K25" i="1" l="1"/>
  <c r="M25" i="1"/>
  <c r="Q25" i="1"/>
  <c r="O20" i="1"/>
  <c r="I20" i="1"/>
  <c r="L20" i="1"/>
  <c r="J20" i="1"/>
  <c r="L35" i="1"/>
  <c r="O35" i="1"/>
  <c r="I35" i="1"/>
  <c r="O24" i="1"/>
  <c r="L24" i="1"/>
  <c r="I24" i="1"/>
  <c r="O18" i="1"/>
  <c r="L18" i="1"/>
  <c r="J18" i="1"/>
  <c r="I18" i="1"/>
  <c r="O32" i="1"/>
  <c r="I32" i="1"/>
  <c r="J32" i="1"/>
  <c r="L32" i="1"/>
  <c r="L11" i="1"/>
  <c r="O11" i="1"/>
  <c r="I11" i="1"/>
  <c r="Q13" i="1"/>
  <c r="J11" i="1"/>
  <c r="L7" i="1"/>
  <c r="J7" i="1"/>
  <c r="O7" i="1"/>
  <c r="I7" i="1"/>
  <c r="J19" i="1"/>
  <c r="L19" i="1"/>
  <c r="O19" i="1"/>
  <c r="I19" i="1"/>
  <c r="P40" i="1"/>
  <c r="V40" i="1" s="1"/>
  <c r="AA40" i="1" s="1"/>
  <c r="M13" i="1"/>
  <c r="P13" i="1" s="1"/>
  <c r="Q15" i="1"/>
  <c r="P3" i="1"/>
  <c r="V3" i="1" s="1"/>
  <c r="AA3" i="1" s="1"/>
  <c r="O10" i="1"/>
  <c r="I10" i="1"/>
  <c r="L10" i="1"/>
  <c r="J10" i="1"/>
  <c r="L25" i="1"/>
  <c r="I25" i="1"/>
  <c r="P25" i="1" s="1"/>
  <c r="O25" i="1"/>
  <c r="J30" i="1"/>
  <c r="L30" i="1"/>
  <c r="O30" i="1"/>
  <c r="I30" i="1"/>
  <c r="O23" i="1"/>
  <c r="I23" i="1"/>
  <c r="L23" i="1"/>
  <c r="P2" i="1"/>
  <c r="V2" i="1" s="1"/>
  <c r="AA2" i="1" s="1"/>
  <c r="J23" i="1"/>
  <c r="I12" i="1"/>
  <c r="O12" i="1"/>
  <c r="L12" i="1"/>
  <c r="I36" i="1"/>
  <c r="O36" i="1"/>
  <c r="L36" i="1"/>
  <c r="O21" i="1"/>
  <c r="I21" i="1"/>
  <c r="L21" i="1"/>
  <c r="J21" i="1"/>
  <c r="M15" i="1"/>
  <c r="J35" i="1"/>
  <c r="L31" i="1"/>
  <c r="O31" i="1"/>
  <c r="J31" i="1"/>
  <c r="I31" i="1"/>
  <c r="J5" i="1"/>
  <c r="L5" i="1"/>
  <c r="O5" i="1"/>
  <c r="I5" i="1"/>
  <c r="O13" i="1"/>
  <c r="I13" i="1"/>
  <c r="L13" i="1"/>
  <c r="L17" i="1"/>
  <c r="J17" i="1"/>
  <c r="O17" i="1"/>
  <c r="I17" i="1"/>
  <c r="J12" i="1"/>
  <c r="J22" i="1"/>
  <c r="O22" i="1"/>
  <c r="I22" i="1"/>
  <c r="L22" i="1"/>
  <c r="M14" i="1"/>
  <c r="P14" i="1" s="1"/>
  <c r="V14" i="1" s="1"/>
  <c r="AA14" i="1" s="1"/>
  <c r="Q9" i="1"/>
  <c r="J29" i="1"/>
  <c r="O29" i="1"/>
  <c r="I29" i="1"/>
  <c r="L29" i="1"/>
  <c r="J24" i="1"/>
  <c r="J34" i="1"/>
  <c r="L34" i="1"/>
  <c r="O34" i="1"/>
  <c r="I34" i="1"/>
  <c r="M4" i="1"/>
  <c r="P4" i="1" s="1"/>
  <c r="V4" i="1" s="1"/>
  <c r="AA4" i="1" s="1"/>
  <c r="M9" i="1"/>
  <c r="M33" i="1"/>
  <c r="P33" i="1" s="1"/>
  <c r="V33" i="1" s="1"/>
  <c r="AA33" i="1" s="1"/>
  <c r="Q33" i="1"/>
  <c r="Q16" i="1"/>
  <c r="J36" i="1"/>
  <c r="L6" i="1"/>
  <c r="J6" i="1"/>
  <c r="O6" i="1"/>
  <c r="I6" i="1"/>
  <c r="O8" i="1"/>
  <c r="I8" i="1"/>
  <c r="L8" i="1"/>
  <c r="J8" i="1"/>
  <c r="T37" i="1"/>
  <c r="U37" i="1" s="1"/>
  <c r="AB37" i="1"/>
  <c r="S39" i="1"/>
  <c r="V39" i="1"/>
  <c r="AA39" i="1" s="1"/>
  <c r="S38" i="1"/>
  <c r="S4" i="1"/>
  <c r="S27" i="1"/>
  <c r="P26" i="1"/>
  <c r="P15" i="1"/>
  <c r="V15" i="1" s="1"/>
  <c r="AA15" i="1" s="1"/>
  <c r="P28" i="1"/>
  <c r="P16" i="1"/>
  <c r="V16" i="1" s="1"/>
  <c r="AA16" i="1" s="1"/>
  <c r="P9" i="1"/>
  <c r="S3" i="1"/>
  <c r="S11" i="1" l="1"/>
  <c r="AB11" i="1" s="1"/>
  <c r="S23" i="1"/>
  <c r="T23" i="1" s="1"/>
  <c r="K34" i="1"/>
  <c r="S34" i="1" s="1"/>
  <c r="M34" i="1"/>
  <c r="P34" i="1" s="1"/>
  <c r="V34" i="1" s="1"/>
  <c r="AA34" i="1" s="1"/>
  <c r="Q34" i="1"/>
  <c r="K6" i="1"/>
  <c r="M6" i="1"/>
  <c r="P6" i="1" s="1"/>
  <c r="V6" i="1" s="1"/>
  <c r="AA6" i="1" s="1"/>
  <c r="Q6" i="1"/>
  <c r="K17" i="1"/>
  <c r="Q17" i="1"/>
  <c r="M17" i="1"/>
  <c r="P17" i="1" s="1"/>
  <c r="K19" i="1"/>
  <c r="M19" i="1"/>
  <c r="P19" i="1" s="1"/>
  <c r="V19" i="1" s="1"/>
  <c r="AA19" i="1" s="1"/>
  <c r="Q19" i="1"/>
  <c r="K35" i="1"/>
  <c r="S35" i="1" s="1"/>
  <c r="M35" i="1"/>
  <c r="P35" i="1" s="1"/>
  <c r="V35" i="1" s="1"/>
  <c r="AA35" i="1" s="1"/>
  <c r="Q35" i="1"/>
  <c r="K23" i="1"/>
  <c r="M23" i="1"/>
  <c r="P23" i="1" s="1"/>
  <c r="V23" i="1" s="1"/>
  <c r="AA23" i="1" s="1"/>
  <c r="Q23" i="1"/>
  <c r="K10" i="1"/>
  <c r="Q10" i="1"/>
  <c r="M10" i="1"/>
  <c r="S10" i="1" s="1"/>
  <c r="K21" i="1"/>
  <c r="Q21" i="1"/>
  <c r="M21" i="1"/>
  <c r="P21" i="1" s="1"/>
  <c r="V21" i="1" s="1"/>
  <c r="AA21" i="1" s="1"/>
  <c r="K7" i="1"/>
  <c r="M7" i="1"/>
  <c r="P7" i="1" s="1"/>
  <c r="V7" i="1" s="1"/>
  <c r="AA7" i="1" s="1"/>
  <c r="Q7" i="1"/>
  <c r="K18" i="1"/>
  <c r="Q18" i="1"/>
  <c r="M18" i="1"/>
  <c r="K31" i="1"/>
  <c r="M31" i="1"/>
  <c r="Q31" i="1"/>
  <c r="K36" i="1"/>
  <c r="Q36" i="1"/>
  <c r="M36" i="1"/>
  <c r="P36" i="1" s="1"/>
  <c r="V36" i="1" s="1"/>
  <c r="AA36" i="1" s="1"/>
  <c r="P10" i="1"/>
  <c r="V10" i="1" s="1"/>
  <c r="AA10" i="1" s="1"/>
  <c r="K8" i="1"/>
  <c r="P8" i="1" s="1"/>
  <c r="V8" i="1" s="1"/>
  <c r="AA8" i="1" s="1"/>
  <c r="Q8" i="1"/>
  <c r="M8" i="1"/>
  <c r="S2" i="1"/>
  <c r="K11" i="1"/>
  <c r="M11" i="1"/>
  <c r="P11" i="1" s="1"/>
  <c r="V11" i="1" s="1"/>
  <c r="AA11" i="1" s="1"/>
  <c r="Q11" i="1"/>
  <c r="K22" i="1"/>
  <c r="S22" i="1" s="1"/>
  <c r="M22" i="1"/>
  <c r="P22" i="1" s="1"/>
  <c r="V22" i="1" s="1"/>
  <c r="AA22" i="1" s="1"/>
  <c r="Q22" i="1"/>
  <c r="K5" i="1"/>
  <c r="S5" i="1" s="1"/>
  <c r="M5" i="1"/>
  <c r="P5" i="1" s="1"/>
  <c r="V5" i="1" s="1"/>
  <c r="AA5" i="1" s="1"/>
  <c r="Q5" i="1"/>
  <c r="K12" i="1"/>
  <c r="Q12" i="1"/>
  <c r="M12" i="1"/>
  <c r="P12" i="1" s="1"/>
  <c r="V12" i="1" s="1"/>
  <c r="AA12" i="1" s="1"/>
  <c r="K30" i="1"/>
  <c r="Q30" i="1"/>
  <c r="M30" i="1"/>
  <c r="M24" i="1"/>
  <c r="Q24" i="1"/>
  <c r="K24" i="1"/>
  <c r="P24" i="1" s="1"/>
  <c r="K32" i="1"/>
  <c r="P32" i="1" s="1"/>
  <c r="V32" i="1" s="1"/>
  <c r="AA32" i="1" s="1"/>
  <c r="M32" i="1"/>
  <c r="Q32" i="1"/>
  <c r="K20" i="1"/>
  <c r="M20" i="1"/>
  <c r="P20" i="1" s="1"/>
  <c r="V20" i="1" s="1"/>
  <c r="AA20" i="1" s="1"/>
  <c r="Q20" i="1"/>
  <c r="K29" i="1"/>
  <c r="M29" i="1"/>
  <c r="Q29" i="1"/>
  <c r="P30" i="1"/>
  <c r="S40" i="1"/>
  <c r="T40" i="1" s="1"/>
  <c r="Z40" i="1" s="1"/>
  <c r="T4" i="1"/>
  <c r="U4" i="1" s="1"/>
  <c r="AB4" i="1"/>
  <c r="T38" i="1"/>
  <c r="Z38" i="1" s="1"/>
  <c r="AB38" i="1"/>
  <c r="T2" i="1"/>
  <c r="U2" i="1" s="1"/>
  <c r="AB2" i="1"/>
  <c r="T27" i="1"/>
  <c r="Z27" i="1" s="1"/>
  <c r="AB27" i="1"/>
  <c r="T3" i="1"/>
  <c r="U3" i="1" s="1"/>
  <c r="AB3" i="1"/>
  <c r="T39" i="1"/>
  <c r="U39" i="1" s="1"/>
  <c r="AB39" i="1"/>
  <c r="Z37" i="1"/>
  <c r="U38" i="1"/>
  <c r="S14" i="1"/>
  <c r="S15" i="1"/>
  <c r="S26" i="1"/>
  <c r="V26" i="1"/>
  <c r="AA26" i="1" s="1"/>
  <c r="S28" i="1"/>
  <c r="V28" i="1"/>
  <c r="AA28" i="1" s="1"/>
  <c r="S25" i="1"/>
  <c r="V25" i="1"/>
  <c r="AA25" i="1" s="1"/>
  <c r="S9" i="1"/>
  <c r="V9" i="1"/>
  <c r="AA9" i="1" s="1"/>
  <c r="S13" i="1"/>
  <c r="V13" i="1"/>
  <c r="AA13" i="1" s="1"/>
  <c r="S30" i="1"/>
  <c r="V30" i="1"/>
  <c r="AA30" i="1" s="1"/>
  <c r="S33" i="1"/>
  <c r="S16" i="1"/>
  <c r="T22" i="1" l="1"/>
  <c r="Z22" i="1" s="1"/>
  <c r="AB22" i="1"/>
  <c r="T35" i="1"/>
  <c r="U35" i="1" s="1"/>
  <c r="AB35" i="1"/>
  <c r="T34" i="1"/>
  <c r="Z34" i="1" s="1"/>
  <c r="AB34" i="1"/>
  <c r="T5" i="1"/>
  <c r="Z5" i="1" s="1"/>
  <c r="AB5" i="1"/>
  <c r="U23" i="1"/>
  <c r="Z23" i="1"/>
  <c r="S17" i="1"/>
  <c r="T17" i="1" s="1"/>
  <c r="Z17" i="1" s="1"/>
  <c r="V17" i="1"/>
  <c r="AA17" i="1" s="1"/>
  <c r="S24" i="1"/>
  <c r="V24" i="1"/>
  <c r="AA24" i="1" s="1"/>
  <c r="S32" i="1"/>
  <c r="Z2" i="1"/>
  <c r="AB23" i="1"/>
  <c r="AB40" i="1"/>
  <c r="P29" i="1"/>
  <c r="S20" i="1"/>
  <c r="P31" i="1"/>
  <c r="V31" i="1" s="1"/>
  <c r="AA31" i="1" s="1"/>
  <c r="S8" i="1"/>
  <c r="T8" i="1" s="1"/>
  <c r="P18" i="1"/>
  <c r="S7" i="1"/>
  <c r="S21" i="1"/>
  <c r="T11" i="1"/>
  <c r="Z11" i="1" s="1"/>
  <c r="S36" i="1"/>
  <c r="S19" i="1"/>
  <c r="S12" i="1"/>
  <c r="S6" i="1"/>
  <c r="Z35" i="1"/>
  <c r="Z4" i="1"/>
  <c r="U40" i="1"/>
  <c r="U11" i="1"/>
  <c r="Z3" i="1"/>
  <c r="Z39" i="1"/>
  <c r="T28" i="1"/>
  <c r="U28" i="1" s="1"/>
  <c r="AB28" i="1"/>
  <c r="T30" i="1"/>
  <c r="U30" i="1" s="1"/>
  <c r="AB30" i="1"/>
  <c r="U27" i="1"/>
  <c r="T24" i="1"/>
  <c r="U24" i="1" s="1"/>
  <c r="AB24" i="1"/>
  <c r="T33" i="1"/>
  <c r="U33" i="1" s="1"/>
  <c r="AB33" i="1"/>
  <c r="T25" i="1"/>
  <c r="U25" i="1" s="1"/>
  <c r="AB25" i="1"/>
  <c r="T26" i="1"/>
  <c r="U26" i="1" s="1"/>
  <c r="AB26" i="1"/>
  <c r="T32" i="1"/>
  <c r="Z32" i="1" s="1"/>
  <c r="AB32" i="1"/>
  <c r="T10" i="1"/>
  <c r="Z10" i="1" s="1"/>
  <c r="AB10" i="1"/>
  <c r="T15" i="1"/>
  <c r="Z15" i="1" s="1"/>
  <c r="AB15" i="1"/>
  <c r="T9" i="1"/>
  <c r="U9" i="1" s="1"/>
  <c r="AB9" i="1"/>
  <c r="T14" i="1"/>
  <c r="U14" i="1" s="1"/>
  <c r="AB14" i="1"/>
  <c r="U22" i="1"/>
  <c r="T13" i="1"/>
  <c r="Z13" i="1" s="1"/>
  <c r="AB13" i="1"/>
  <c r="T16" i="1"/>
  <c r="U16" i="1" s="1"/>
  <c r="AB16" i="1"/>
  <c r="Z28" i="1"/>
  <c r="Z8" i="1" l="1"/>
  <c r="U8" i="1"/>
  <c r="S29" i="1"/>
  <c r="V29" i="1"/>
  <c r="AA29" i="1" s="1"/>
  <c r="AB17" i="1"/>
  <c r="AB8" i="1"/>
  <c r="T36" i="1"/>
  <c r="AB36" i="1"/>
  <c r="AB12" i="1"/>
  <c r="T12" i="1"/>
  <c r="T19" i="1"/>
  <c r="AB19" i="1"/>
  <c r="S31" i="1"/>
  <c r="U5" i="1"/>
  <c r="U34" i="1"/>
  <c r="T21" i="1"/>
  <c r="AB21" i="1"/>
  <c r="V18" i="1"/>
  <c r="AA18" i="1" s="1"/>
  <c r="S18" i="1"/>
  <c r="T20" i="1"/>
  <c r="AB20" i="1"/>
  <c r="AB6" i="1"/>
  <c r="T6" i="1"/>
  <c r="T7" i="1"/>
  <c r="AB7" i="1"/>
  <c r="Z25" i="1"/>
  <c r="Z26" i="1"/>
  <c r="U17" i="1"/>
  <c r="U13" i="1"/>
  <c r="U10" i="1"/>
  <c r="Z16" i="1"/>
  <c r="Z9" i="1"/>
  <c r="Z30" i="1"/>
  <c r="U15" i="1"/>
  <c r="U32" i="1"/>
  <c r="Z33" i="1"/>
  <c r="Z14" i="1"/>
  <c r="Z24" i="1"/>
  <c r="U19" i="1" l="1"/>
  <c r="Z19" i="1"/>
  <c r="Z12" i="1"/>
  <c r="U12" i="1"/>
  <c r="T18" i="1"/>
  <c r="AB18" i="1"/>
  <c r="Z21" i="1"/>
  <c r="U21" i="1"/>
  <c r="Z7" i="1"/>
  <c r="U7" i="1"/>
  <c r="U20" i="1"/>
  <c r="Z20" i="1"/>
  <c r="Z36" i="1"/>
  <c r="U36" i="1"/>
  <c r="AB29" i="1"/>
  <c r="T29" i="1"/>
  <c r="Z6" i="1"/>
  <c r="U6" i="1"/>
  <c r="T31" i="1"/>
  <c r="AB31" i="1"/>
  <c r="Z31" i="1" l="1"/>
  <c r="U31" i="1"/>
  <c r="U29" i="1"/>
  <c r="Z29" i="1"/>
  <c r="U18" i="1"/>
  <c r="Z1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desarrollo</author>
  </authors>
  <commentList>
    <comment ref="T1" authorId="0" shapeId="0" xr:uid="{890A8D8A-36A5-4C7A-853B-DEA3CCE25F43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total ahorrado es mayor o igual a 20000000 O el cargo es igual a Ginecologa el hospital es San Vicente de Paul de lo contrario San Juan de Dios</t>
        </r>
      </text>
    </comment>
    <comment ref="U1" authorId="0" shapeId="0" xr:uid="{0A6818B4-8B4D-4C84-8578-382783BAA051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traslado es igual a San Juan de Dios o el cargo es igual a Médico Cirujano entonces Sabaneta de lo contrario Envigado</t>
        </r>
      </text>
    </comment>
    <comment ref="V1" authorId="0" shapeId="0" xr:uid="{6B791C74-A94A-4600-BB69-A83B3F219C5B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ahorro en octubre es mayor o igual a 980000 entonces se le dará un viaje a Cancum de lo contrario bono por 75000</t>
        </r>
      </text>
    </comment>
    <comment ref="W1" authorId="0" shapeId="0" xr:uid="{177B7E68-F8FB-4DE8-B836-CF31ABCD6017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la ciudad es igual a Medellín O el cargo es igual a Médico internista la cuidad es Bogotá de lo contrario Cali</t>
        </r>
      </text>
    </comment>
    <comment ref="X1" authorId="0" shapeId="0" xr:uid="{B932FE2E-2C94-4E2B-A4BF-0F8EEE9639D9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hospital es igual a Ma nuel uribe angel  o el cargo es igual a Pediatra entonces Jede de Cardiologia de lo contrario Jefe de sala de partos</t>
        </r>
      </text>
    </comment>
    <comment ref="Y1" authorId="0" shapeId="0" xr:uid="{D1A06C5F-8CB2-493A-AF2B-C5B2FE291F6D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salalrio es menor o igual a 4100000 se ler dará un bono de 100000 de lo contrario de 50000</t>
        </r>
      </text>
    </comment>
    <comment ref="Z1" authorId="0" shapeId="0" xr:uid="{39D81948-89AD-46B1-88CF-1D1B671E2F1C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ahorro en septiembre fue mayor o igual a 1500000 y el traslado es igual a San Vicente de Paul recibe el 30% de lo ahorrado en septiempre de lo conterario el 15% de lo ahorrado en septiembre</t>
        </r>
      </text>
    </comment>
    <comment ref="AA1" authorId="0" shapeId="0" xr:uid="{9C5A3D2D-9B69-42CA-954D-55D00A782582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hospital es igual a Gabriel Jaramillo Piedrahita o el premio es igual a 75000 entonces Jefe de Internistas de lo contrario de Ginecologia </t>
        </r>
      </text>
    </comment>
    <comment ref="AB1" authorId="0" shapeId="0" xr:uid="{40B5DEC5-6DA4-4DAB-9165-791C1F6EA6AD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total ahorrado es mayor o igual a 60000000 y la sede es Cali entonces se le presta la tercera parte del total ahorrado de lo contrario la quinta parte de lo ahorrado</t>
        </r>
      </text>
    </comment>
    <comment ref="AC1" authorId="0" shapeId="0" xr:uid="{0D226886-375B-4F06-A1AE-DF244FE77DBA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hospital es igual a San vicente de Paul y el cargo es Medico Cirujano entonces el uniforme de color Negro, si el hospital es igual a San juan de Dios y el cargo es  Ginecologa el uniforme es de color Azul de lo contrario Gris</t>
        </r>
      </text>
    </comment>
    <comment ref="AD1" authorId="0" shapeId="0" xr:uid="{B9FDE6D0-3C3A-4023-A169-1E49D0972BAC}">
      <text>
        <r>
          <rPr>
            <b/>
            <sz val="9"/>
            <color indexed="81"/>
            <rFont val="Tahoma"/>
            <charset val="1"/>
          </rPr>
          <t>desarrollo:
Si la ciudad es igual a Envigado o el cargo es igual a Ginecologa su dia de descanso es Lunes de lo contrario si la ciudad es igual a Rionegro o el cargo es igual a Medico cirujano su dia de descanso es Martes de lo contrario si la ciudad es igual a Medellin o el cargo es Medico Internista el dia de descanso es Miercoles de lo contrario Jueves</t>
        </r>
      </text>
    </comment>
  </commentList>
</comments>
</file>

<file path=xl/sharedStrings.xml><?xml version="1.0" encoding="utf-8"?>
<sst xmlns="http://schemas.openxmlformats.org/spreadsheetml/2006/main" count="199" uniqueCount="96">
  <si>
    <t>CIUDAD</t>
  </si>
  <si>
    <t>CEDULA</t>
  </si>
  <si>
    <t>SALARIO</t>
  </si>
  <si>
    <t>NOMBRE</t>
  </si>
  <si>
    <t>CARGO</t>
  </si>
  <si>
    <t>HOSPITAL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</si>
  <si>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</si>
  <si>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</si>
  <si>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</si>
  <si>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</si>
  <si>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</si>
  <si>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</si>
  <si>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</si>
  <si>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</si>
  <si>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</si>
  <si>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</si>
  <si>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</si>
  <si>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</si>
  <si>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</si>
  <si>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Adriana Arciniegas</t>
  </si>
  <si>
    <t>Alberto Gómez</t>
  </si>
  <si>
    <t>Alfonso Barreneche Estrada</t>
  </si>
  <si>
    <t>Alfonso Leon Velez</t>
  </si>
  <si>
    <t>Alfonso Patiño Cifuentes</t>
  </si>
  <si>
    <t>Alvaro Acevedo</t>
  </si>
  <si>
    <t>Alvaro Estrada Mesa</t>
  </si>
  <si>
    <t>Ana Isabel Gonzalez Acosta</t>
  </si>
  <si>
    <t>Antonio Vasquez Trujillo</t>
  </si>
  <si>
    <t>Augusto Antonio Velez</t>
  </si>
  <si>
    <t xml:space="preserve">Beatriz Elena Gallego </t>
  </si>
  <si>
    <t>Bernardo Upegui Acevedo</t>
  </si>
  <si>
    <t>Camilo Mora Montoya</t>
  </si>
  <si>
    <t xml:space="preserve">Carlos Alberto Gil </t>
  </si>
  <si>
    <t>Carlos Arturo Gomescaceres</t>
  </si>
  <si>
    <t>Carlos Augusto Saldarriaga</t>
  </si>
  <si>
    <t>Carlos Fernando Lega Rueda</t>
  </si>
  <si>
    <t>Carlos Guillermo Tobon</t>
  </si>
  <si>
    <t>Carlos Mario Jaramillo</t>
  </si>
  <si>
    <t>Cesar Augusto Angel Angel</t>
  </si>
  <si>
    <t>Claudia Gonzalez  Posada</t>
  </si>
  <si>
    <t>Claudia Maria Niño</t>
  </si>
  <si>
    <t>Dario Aguilar</t>
  </si>
  <si>
    <t>David Bojanini</t>
  </si>
  <si>
    <t xml:space="preserve">Diego Velez Gil </t>
  </si>
  <si>
    <t>Edgar Mejia</t>
  </si>
  <si>
    <t>Emel Vargas Garcia</t>
  </si>
  <si>
    <t>Fabio Cadavid Gonzalez</t>
  </si>
  <si>
    <t>Francisco Echeverri Perez</t>
  </si>
  <si>
    <t>Francisco Romero Gaitan</t>
  </si>
  <si>
    <t>Gloria Cecilia Perez Mesa</t>
  </si>
  <si>
    <t>Gonzalo Echavarria</t>
  </si>
  <si>
    <t>Gonzalo Restrepo Lopez</t>
  </si>
  <si>
    <t>Gustavo Adolfo Restrepo</t>
  </si>
  <si>
    <t>Gustavo Pastrana</t>
  </si>
  <si>
    <t>Humberto Ochoa Botero</t>
  </si>
  <si>
    <t>Jaime Palacio Isaza</t>
  </si>
  <si>
    <t>Jaime Pelaez</t>
  </si>
  <si>
    <t>Jaime Sanchez Correa</t>
  </si>
  <si>
    <t>Medellin</t>
  </si>
  <si>
    <t>Envigado</t>
  </si>
  <si>
    <t>Itagui</t>
  </si>
  <si>
    <t>La Estrella</t>
  </si>
  <si>
    <t>Sabaneta</t>
  </si>
  <si>
    <t>Rionegro</t>
  </si>
  <si>
    <t>Pediatra</t>
  </si>
  <si>
    <t>Médico Cirujano</t>
  </si>
  <si>
    <t>Médico Internista</t>
  </si>
  <si>
    <t>Ginecóloga</t>
  </si>
  <si>
    <t>San Vicente De Paul</t>
  </si>
  <si>
    <t>San Juan De Dios</t>
  </si>
  <si>
    <t>Gabriel Jaramillo Piedrahita</t>
  </si>
  <si>
    <t>Manuel Uribe Angel</t>
  </si>
  <si>
    <t>TRASLADO</t>
  </si>
  <si>
    <t>UBICACIÓN</t>
  </si>
  <si>
    <t>PREMIO</t>
  </si>
  <si>
    <t>NEWSEDE</t>
  </si>
  <si>
    <t>NEWCARGO</t>
  </si>
  <si>
    <t>BONIFICACION</t>
  </si>
  <si>
    <t>BONOEXTRA</t>
  </si>
  <si>
    <t>CARGOPROVISIONAL</t>
  </si>
  <si>
    <t>PRESTAMO</t>
  </si>
  <si>
    <t>UNIFORME</t>
  </si>
  <si>
    <t>DIADEDESCANSO</t>
  </si>
  <si>
    <t xml:space="preserve">CREAR DASHBOARD </t>
  </si>
  <si>
    <t>Tabla dinamica 1</t>
  </si>
  <si>
    <t>Tabla dinamica 2</t>
  </si>
  <si>
    <t>Tabla dinamica 3</t>
  </si>
  <si>
    <t>Tabla dinamica 4</t>
  </si>
  <si>
    <t>Hospital, Salario y Cargo</t>
  </si>
  <si>
    <t>Hospital, Bonificacion y NewCargo</t>
  </si>
  <si>
    <t>Columnas</t>
  </si>
  <si>
    <t>Barras</t>
  </si>
  <si>
    <t>Circular</t>
  </si>
  <si>
    <t>Linea</t>
  </si>
  <si>
    <t xml:space="preserve">Nombre , Total </t>
  </si>
  <si>
    <t>Ciudad, Hospital, BONOEXTRA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</si>
</sst>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€&quot;_-;\-* #,##0.00\ &quot;€&quot;_-;_-* &quot;-&quot;??\ &quot;€&quot;_-;_-@_-"/>
    <numFmt numFmtId="165" formatCode="[$$-240A]\ #,##0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name val="MS Sans Serif"/>
    </font>
    <font>
      <sz val="10"/>
      <color theme="1"/>
      <name val="Arial"/>
      <family val="2"/>
    </font>
    <font>
      <sz val="10"/>
      <color theme="1"/>
      <name val="Arial"/>
    </font>
    <font>
      <u/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2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5" fillId="0" borderId="1" xfId="0" applyFont="1" applyFill="1" applyBorder="1"/>
    <xf numFmtId="0" fontId="4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wrapText="1"/>
    </xf>
    <xf numFmtId="165" fontId="5" fillId="0" borderId="1" xfId="0" applyNumberFormat="1" applyFont="1" applyFill="1" applyBorder="1"/>
    <xf numFmtId="165" fontId="6" fillId="0" borderId="1" xfId="0" applyNumberFormat="1" applyFont="1" applyFill="1" applyBorder="1"/>
    <xf numFmtId="0" fontId="4" fillId="0" borderId="1" xfId="0" applyFont="1" applyFill="1" applyBorder="1"/>
    <xf numFmtId="3" fontId="5" fillId="0" borderId="2" xfId="0" applyNumberFormat="1" applyFont="1" applyFill="1" applyBorder="1"/>
    <xf numFmtId="165" fontId="5" fillId="0" borderId="3" xfId="0" applyNumberFormat="1" applyFont="1" applyFill="1" applyBorder="1"/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3" fontId="5" fillId="0" borderId="7" xfId="0" applyNumberFormat="1" applyFont="1" applyFill="1" applyBorder="1"/>
    <xf numFmtId="0" fontId="5" fillId="0" borderId="8" xfId="0" applyFont="1" applyFill="1" applyBorder="1" applyAlignment="1">
      <alignment wrapText="1"/>
    </xf>
    <xf numFmtId="0" fontId="4" fillId="0" borderId="8" xfId="0" applyFont="1" applyFill="1" applyBorder="1" applyAlignment="1">
      <alignment vertical="top" wrapText="1"/>
    </xf>
    <xf numFmtId="165" fontId="5" fillId="0" borderId="8" xfId="0" applyNumberFormat="1" applyFont="1" applyFill="1" applyBorder="1"/>
    <xf numFmtId="165" fontId="5" fillId="0" borderId="9" xfId="0" applyNumberFormat="1" applyFont="1" applyFill="1" applyBorder="1"/>
    <xf numFmtId="3" fontId="5" fillId="0" borderId="0" xfId="0" applyNumberFormat="1" applyFont="1" applyFill="1" applyBorder="1"/>
    <xf numFmtId="0" fontId="5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top" wrapText="1"/>
    </xf>
    <xf numFmtId="165" fontId="5" fillId="0" borderId="0" xfId="0" applyNumberFormat="1" applyFont="1" applyFill="1" applyBorder="1"/>
    <xf numFmtId="165" fontId="5" fillId="0" borderId="5" xfId="0" applyNumberFormat="1" applyFont="1" applyFill="1" applyBorder="1"/>
    <xf numFmtId="0" fontId="0" fillId="3" borderId="0" xfId="0" applyFill="1"/>
    <xf numFmtId="0" fontId="10" fillId="3" borderId="0" xfId="0" applyFont="1" applyFill="1" applyAlignment="1">
      <alignment horizontal="center" vertical="center"/>
    </xf>
  </cellXfs>
  <cellStyles count="3">
    <cellStyle name="Euro" xfId="1" xr:uid="{00000000-0005-0000-0000-000000000000}"/>
    <cellStyle name="Heading" xfId="2" xr:uid="{00000000-0005-0000-0000-000001000000}"/>
    <cellStyle name="Normal" xfId="0" builtinId="0"/>
  </cellStyles>
  <dxfs count="6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4"/>
      </font>
      <fill>
        <patternFill>
          <bgColor rgb="FFFFC7CE"/>
        </patternFill>
      </fill>
    </dxf>
    <dxf>
      <font>
        <color rgb="FF9C0006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4"/>
      </font>
      <fill>
        <patternFill>
          <bgColor theme="4"/>
        </patternFill>
      </fill>
    </dxf>
    <dxf>
      <font>
        <color auto="1"/>
      </font>
      <fill>
        <patternFill>
          <bgColor rgb="FFFFC7CE"/>
        </patternFill>
      </fill>
    </dxf>
    <dxf>
      <font>
        <color theme="4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167640</xdr:colOff>
      <xdr:row>0</xdr:row>
      <xdr:rowOff>0</xdr:rowOff>
    </xdr:from>
    <xdr:to>
      <xdr:col>14</xdr:col>
      <xdr:colOff>732530</xdr:colOff>
      <xdr:row>32</xdr:row>
      <xdr:rowOff>61430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09C7AF-7E0C-7B71-7BC2-D9E045A47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7640" y="0"/>
          <a:ext cx="11659610" cy="542591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46BFE59-E2B7-4DE4-BCEC-3FB4EFCCDBEF}" name="Tabla1" displayName="Tabla1" ref="A1:AD40" totalsRowShown="0" headerRowDxfId="63" dataDxfId="61" headerRowBorderDxfId="62" tableBorderDxfId="60" totalsRowBorderDxfId="59">
  <autoFilter ref="A1:AD40" xr:uid="{D801CEBF-3AFC-4C1F-A427-8256AD511E8E}"/>
  <tableColumns count="30">
    <tableColumn id="1" xr3:uid="{91A92BE5-CE60-4C14-B830-69A385F4E0C4}" name="CEDULA" dataDxfId="58" totalsRowDxfId="57"/>
    <tableColumn id="2" xr3:uid="{DBC41C77-F1B4-4A31-872D-910D2F4DC536}" name="NOMBRE" dataDxfId="56" totalsRowDxfId="55"/>
    <tableColumn id="3" xr3:uid="{8AA5AF50-7C10-4141-825C-91FFFC7C176E}" name="CIUDAD" dataDxfId="54" totalsRowDxfId="53"/>
    <tableColumn id="4" xr3:uid="{867197C0-5F46-457A-BD5C-87A79D318D6F}" name="CARGO" dataDxfId="52" totalsRowDxfId="51"/>
    <tableColumn id="5" xr3:uid="{D5C729A1-1A7C-4879-A1BD-15418B3EBCCF}" name="HOSPITAL" dataDxfId="50" totalsRowDxfId="49"/>
    <tableColumn id="6" xr3:uid="{364925C4-0688-479F-B191-45E828F55571}" name="SALARIO" dataDxfId="48" totalsRowDxfId="47"/>
    <tableColumn id="7" xr3:uid="{B02CD5B5-E5B1-42C4-BA59-F8EA237D41A0}" name="ENERO" dataDxfId="46" totalsRowDxfId="45">
      <calculatedColumnFormula>Tabla1[[#This Row],[SALARIO]]*10%</calculatedColumnFormula>
    </tableColumn>
    <tableColumn id="8" xr3:uid="{08B081E6-01A6-4638-BFB4-90C3A2A64D60}" name="FEBRERO" dataDxfId="44" totalsRowDxfId="43">
      <calculatedColumnFormula>Tabla1[[#This Row],[ENERO]]*5</calculatedColumnFormula>
    </tableColumn>
    <tableColumn id="9" xr3:uid="{6BD1BF00-12A7-4296-89F6-C575D2D1AF44}" name="MARZO" dataDxfId="42" totalsRowDxfId="41">
      <calculatedColumnFormula>Tabla1[[#This Row],[FEBRERO]]*80%</calculatedColumnFormula>
    </tableColumn>
    <tableColumn id="10" xr3:uid="{311B82F2-A36D-40FD-B318-37CF0A456CF5}" name="ABRIL" dataDxfId="40" totalsRowDxfId="39">
      <calculatedColumnFormula>SUM(Tabla1[[#This Row],[ENERO]:[FEBRERO]])</calculatedColumnFormula>
    </tableColumn>
    <tableColumn id="11" xr3:uid="{8D66817F-5CB0-4D95-9832-699CB3C96C9C}" name="MAYO" dataDxfId="38" totalsRowDxfId="37">
      <calculatedColumnFormula>Tabla1[[#This Row],[ABRIL]]/2</calculatedColumnFormula>
    </tableColumn>
    <tableColumn id="12" xr3:uid="{DF646086-06CA-4293-B117-6DBCFA681173}" name="JUNIO" dataDxfId="36" totalsRowDxfId="35">
      <calculatedColumnFormula>Tabla1[[#This Row],[FEBRERO]]/2</calculatedColumnFormula>
    </tableColumn>
    <tableColumn id="13" xr3:uid="{2F0764D3-243C-4A7A-9BEB-D8F9604254D6}" name="JULIO" dataDxfId="34" totalsRowDxfId="33">
      <calculatedColumnFormula>Tabla1[[#This Row],[ABRIL]]-Tabla1[[#This Row],[ENERO]]</calculatedColumnFormula>
    </tableColumn>
    <tableColumn id="14" xr3:uid="{D9027E45-18C9-45EA-8CF1-10C7910E6B65}" name="AGOSTO" dataDxfId="32" totalsRowDxfId="31">
      <calculatedColumnFormula>Tabla1[[#This Row],[ENERO]]*3</calculatedColumnFormula>
    </tableColumn>
    <tableColumn id="15" xr3:uid="{E29A5D3D-7E22-4050-B7E6-7F8B0808C8AB}" name="SEPTIEMBRE" dataDxfId="30" totalsRowDxfId="29">
      <calculatedColumnFormula>Tabla1[[#This Row],[FEBRERO]]/4</calculatedColumnFormula>
    </tableColumn>
    <tableColumn id="16" xr3:uid="{21F7A04B-3022-4D4A-A2A5-A655A24A2B44}" name="OCTUBRE" dataDxfId="28" totalsRowDxfId="27">
      <calculatedColumnFormula>AVERAGE(Tabla1[[#This Row],[ENERO]:[JULIO]])</calculatedColumnFormula>
    </tableColumn>
    <tableColumn id="17" xr3:uid="{33BF1BE4-F943-4A64-87AF-28A3C79F5632}" name="NOVIEMBRE" dataDxfId="26" totalsRowDxfId="25">
      <calculatedColumnFormula>Tabla1[[#This Row],[ABRIL]]*20%+Tabla1[[#This Row],[ABRIL]]</calculatedColumnFormula>
    </tableColumn>
    <tableColumn id="18" xr3:uid="{94CD0FAF-18EC-43CA-8234-F7FBC1096EF7}" name="DICIEMBRE" dataDxfId="24" totalsRowDxfId="23">
      <calculatedColumnFormula>Tabla1[[#This Row],[ENERO]]-Tabla1[[#This Row],[ENERO]]*75%</calculatedColumnFormula>
    </tableColumn>
    <tableColumn id="19" xr3:uid="{20CA1A6F-6E19-4CD3-A9B2-DD5361E816A5}" name="TOTAL" dataDxfId="22" totalsRowDxfId="21">
      <calculatedColumnFormula>SUM(Tabla1[[#This Row],[ENERO]:[DICIEMBRE]])</calculatedColumnFormula>
    </tableColumn>
    <tableColumn id="20" xr3:uid="{17D2210B-8C17-4BC7-A344-3134826ACA68}" name="TRASLADO" dataDxfId="20" totalsRowDxfId="19">
      <calculatedColumnFormula>IF(OR(Tabla1[[#This Row],[TOTAL]]&gt;=20000000,Tabla1[[#This Row],[CARGO]]="Ginecológa"),"H.San Vicente de Paul","H.San Juan de Dios")</calculatedColumnFormula>
    </tableColumn>
    <tableColumn id="21" xr3:uid="{CDA89A54-39AD-44EE-AE43-63DB45B509CC}" name="UBICACIÓN" dataDxfId="18" totalsRowDxfId="17">
      <calculatedColumnFormula>IF(OR(Tabla1[[#This Row],[TRASLADO]]="H.San Juan de Dios",Tabla1[[#This Row],[CARGO]]="Médico Cirujano"),"Sabaneta","Envigado")</calculatedColumnFormula>
    </tableColumn>
    <tableColumn id="22" xr3:uid="{74C11B5A-DFA1-42A0-A0E2-1226737FD2A5}" name="PREMIO" dataDxfId="16">
      <calculatedColumnFormula>IF(Tabla1[[#This Row],[OCTUBRE]]&gt;=980000,"Cancum",75000)</calculatedColumnFormula>
    </tableColumn>
    <tableColumn id="23" xr3:uid="{CE1CF9CE-1C18-4E97-8A75-22A20416B383}" name="NEWSEDE" dataDxfId="15">
      <calculatedColumnFormula>IF(OR(Tabla1[[#This Row],[CIUDAD]]="Medellín",Tabla1[[#This Row],[CARGO]]="Médico Internista"),"Bogotá","Cali")</calculatedColumnFormula>
    </tableColumn>
    <tableColumn id="24" xr3:uid="{6E3831AA-A908-4A8D-8E7A-38377DA8D571}" name="NEWCARGO" dataDxfId="14">
      <calculatedColumnFormula>IF(OR(Tabla1[[#This Row],[HOSPITAL]]="Manuel Uribe Angel",Tabla1[[#This Row],[CARGO]]="Pediatra"),"Jefe de Cardiología","Sala de Partos")</calculatedColumnFormula>
    </tableColumn>
    <tableColumn id="25" xr3:uid="{FDC29277-785C-4487-8985-CE010EDF73FA}" name="BONIFICACION" dataDxfId="13">
      <calculatedColumnFormula>IF(Tabla1[[#This Row],[SALARIO]]&lt;=4100000,100000,50000)</calculatedColumnFormula>
    </tableColumn>
    <tableColumn id="26" xr3:uid="{67F1691F-4A17-4BEF-9D8D-1EC6852949C2}" name="BONOEXTRA" dataDxfId="12">
      <calculatedColumnFormula>IF(AND(Tabla1[[#This Row],[SEPTIEMBRE]]&gt;=1500000,Tabla1[[#This Row],[TRASLADO]]="H.San Vicente de Paul"),Tabla1[[#This Row],[SEPTIEMBRE]]*30%,Tabla1[[#This Row],[SEPTIEMBRE]]*15%)</calculatedColumnFormula>
    </tableColumn>
    <tableColumn id="27" xr3:uid="{E8189C0F-2C40-42CC-8A23-953E1EE1E341}" name="CARGOPROVISIONAL" dataDxfId="11">
      <calculatedColumnFormula>IF(OR(Tabla1[[#This Row],[HOSPITAL]]="Gabriel Jaramillo Piedrahita",Tabla1[[#This Row],[PREMIO]]=75000),"Jefe de Internistas","Ginecología")</calculatedColumnFormula>
    </tableColumn>
    <tableColumn id="28" xr3:uid="{47CC26F0-9004-4399-9A22-6900B5885784}" name="PRESTAMO" dataDxfId="10">
      <calculatedColumnFormula>IF(AND(Tabla1[[#This Row],[TOTAL]]&gt;=60000000,Tabla1[[#This Row],[NEWSEDE]]="Cali"),Tabla1[[#This Row],[TOTAL]]/3,Tabla1[[#This Row],[TOTAL]]/5)</calculatedColumnFormula>
    </tableColumn>
    <tableColumn id="29" xr3:uid="{D4CCCE5A-458B-4EC2-AB67-94E9B762D911}" name="UNIFORME" dataDxfId="9">
      <calculatedColumnFormula>IF(AND(Tabla1[[#This Row],[HOSPITAL]]="San Vicente de Paul",Tabla1[[#This Row],[CARGO]]="Médico Cirujano"),"Negro",IF(AND(Tabla1[[#This Row],[HOSPITAL]]="San Juan de Dios",Tabla1[[#This Row],[CARGO]]="Ginecóloga"),"Azul","Gris"))</calculatedColumnFormula>
    </tableColumn>
    <tableColumn id="30" xr3:uid="{ED39A103-0D9C-403E-BEF2-638D18A3187A}" name="DIADEDESCANSO" dataDxfId="8">
      <calculatedColumnFormula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O9"/>
  <sheetViews>
    <sheetView zoomScale="130" zoomScaleNormal="130" workbookViewId="0">
      <selection activeCell="D19" sqref="D19"/>
    </sheetView>
  </sheetViews>
  <sheetFormatPr baseColWidth="10" defaultRowHeight="13.2" x14ac:dyDescent="0.25"/>
  <sheetData>
    <row r="1" spans="1:15" s="23" customFormat="1" x14ac:dyDescent="0.25">
      <c r="A1" s="24" t="s">
        <v>83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s="23" customForma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15" s="23" customFormat="1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1:15" s="23" customFormat="1" x14ac:dyDescent="0.25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</row>
    <row r="6" spans="1:15" x14ac:dyDescent="0.25">
      <c r="A6" t="s">
        <v>84</v>
      </c>
      <c r="C6" t="s">
        <v>88</v>
      </c>
      <c r="F6" t="s">
        <v>90</v>
      </c>
    </row>
    <row r="7" spans="1:15" x14ac:dyDescent="0.25">
      <c r="A7" t="s">
        <v>85</v>
      </c>
      <c r="C7" t="s">
        <v>89</v>
      </c>
      <c r="F7" t="s">
        <v>91</v>
      </c>
    </row>
    <row r="8" spans="1:15" x14ac:dyDescent="0.25">
      <c r="A8" t="s">
        <v>86</v>
      </c>
      <c r="C8" s="1" t="s">
        <v>95</v>
      </c>
      <c r="F8" t="s">
        <v>92</v>
      </c>
    </row>
    <row r="9" spans="1:15" x14ac:dyDescent="0.25">
      <c r="A9" t="s">
        <v>87</v>
      </c>
      <c r="C9" t="s">
        <v>94</v>
      </c>
      <c r="F9" t="s">
        <v>93</v>
      </c>
    </row>
  </sheetData>
  <mergeCells count="1">
    <mergeCell ref="A1:O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D41"/>
  <sheetViews>
    <sheetView zoomScale="73" zoomScaleNormal="73" workbookViewId="0">
      <selection activeCell="D46" sqref="D46"/>
    </sheetView>
  </sheetViews>
  <sheetFormatPr baseColWidth="10" defaultColWidth="11.44140625" defaultRowHeight="13.2" x14ac:dyDescent="0.25"/>
  <cols>
    <col min="1" max="1" width="11.5546875" customWidth="1"/>
    <col min="2" max="2" width="25.33203125" bestFit="1" customWidth="1"/>
    <col min="3" max="3" width="13.33203125" bestFit="1" customWidth="1"/>
    <col min="4" max="4" width="15.109375" bestFit="1" customWidth="1"/>
    <col min="5" max="5" width="23.88671875" bestFit="1" customWidth="1"/>
    <col min="6" max="6" width="12.33203125" bestFit="1" customWidth="1"/>
    <col min="8" max="8" width="12.6640625" bestFit="1" customWidth="1"/>
    <col min="10" max="10" width="16.44140625" customWidth="1"/>
    <col min="15" max="15" width="15" customWidth="1"/>
    <col min="16" max="16" width="14.5546875" customWidth="1"/>
    <col min="17" max="17" width="14.109375" customWidth="1"/>
    <col min="18" max="18" width="13.33203125" customWidth="1"/>
    <col min="19" max="19" width="14.33203125" bestFit="1" customWidth="1"/>
    <col min="20" max="20" width="21.88671875" customWidth="1"/>
    <col min="24" max="24" width="17.109375" customWidth="1"/>
    <col min="25" max="25" width="16" customWidth="1"/>
    <col min="26" max="26" width="15.109375" customWidth="1"/>
    <col min="27" max="27" width="23.88671875" customWidth="1"/>
    <col min="28" max="28" width="15.109375" customWidth="1"/>
    <col min="29" max="29" width="20.88671875" customWidth="1"/>
    <col min="30" max="30" width="17" customWidth="1"/>
  </cols>
  <sheetData>
    <row r="1" spans="1:30" x14ac:dyDescent="0.25">
      <c r="A1" s="10" t="s">
        <v>1</v>
      </c>
      <c r="B1" s="11" t="s">
        <v>3</v>
      </c>
      <c r="C1" s="11" t="s">
        <v>0</v>
      </c>
      <c r="D1" s="11" t="s">
        <v>4</v>
      </c>
      <c r="E1" s="11" t="s">
        <v>5</v>
      </c>
      <c r="F1" s="11" t="s">
        <v>2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2" t="s">
        <v>18</v>
      </c>
      <c r="T1" s="11" t="s">
        <v>72</v>
      </c>
      <c r="U1" s="11" t="s">
        <v>73</v>
      </c>
      <c r="V1" s="11" t="s">
        <v>74</v>
      </c>
      <c r="W1" s="11" t="s">
        <v>75</v>
      </c>
      <c r="X1" s="11" t="s">
        <v>76</v>
      </c>
      <c r="Y1" s="11" t="s">
        <v>77</v>
      </c>
      <c r="Z1" s="11" t="s">
        <v>78</v>
      </c>
      <c r="AA1" s="11" t="s">
        <v>79</v>
      </c>
      <c r="AB1" s="11" t="s">
        <v>80</v>
      </c>
      <c r="AC1" s="11" t="s">
        <v>81</v>
      </c>
      <c r="AD1" s="11" t="s">
        <v>82</v>
      </c>
    </row>
    <row r="2" spans="1:30" x14ac:dyDescent="0.25">
      <c r="A2" s="8">
        <v>7609339</v>
      </c>
      <c r="B2" s="2" t="s">
        <v>19</v>
      </c>
      <c r="C2" s="3" t="s">
        <v>61</v>
      </c>
      <c r="D2" s="4" t="s">
        <v>67</v>
      </c>
      <c r="E2" s="5" t="s">
        <v>68</v>
      </c>
      <c r="F2" s="5">
        <v>3998700</v>
      </c>
      <c r="G2" s="5">
        <f>Tabla1[[#This Row],[SALARIO]]*10%</f>
        <v>399870</v>
      </c>
      <c r="H2" s="5">
        <f>Tabla1[[#This Row],[ENERO]]*5</f>
        <v>1999350</v>
      </c>
      <c r="I2" s="5">
        <f>Tabla1[[#This Row],[FEBRERO]]*80%</f>
        <v>1599480</v>
      </c>
      <c r="J2" s="5">
        <f>SUM(Tabla1[[#This Row],[ENERO]:[FEBRERO]])</f>
        <v>2399220</v>
      </c>
      <c r="K2" s="5">
        <f>Tabla1[[#This Row],[ABRIL]]/2</f>
        <v>1199610</v>
      </c>
      <c r="L2" s="5">
        <f>Tabla1[[#This Row],[FEBRERO]]/2</f>
        <v>999675</v>
      </c>
      <c r="M2" s="5">
        <f>Tabla1[[#This Row],[ABRIL]]-Tabla1[[#This Row],[ENERO]]</f>
        <v>1999350</v>
      </c>
      <c r="N2" s="5">
        <f>Tabla1[[#This Row],[ENERO]]*3</f>
        <v>1199610</v>
      </c>
      <c r="O2" s="5">
        <f>Tabla1[[#This Row],[FEBRERO]]/4</f>
        <v>499837.5</v>
      </c>
      <c r="P2" s="5">
        <f>AVERAGE(Tabla1[[#This Row],[ENERO]:[JULIO]])</f>
        <v>1513793.5714285714</v>
      </c>
      <c r="Q2" s="5">
        <f>Tabla1[[#This Row],[ABRIL]]*20%+Tabla1[[#This Row],[ABRIL]]</f>
        <v>2879064</v>
      </c>
      <c r="R2" s="5">
        <f>Tabla1[[#This Row],[ENERO]]-Tabla1[[#This Row],[ENERO]]*75%</f>
        <v>99967.5</v>
      </c>
      <c r="S2" s="9">
        <f>SUM(Tabla1[[#This Row],[ENERO]:[DICIEMBRE]])</f>
        <v>16788827.571428571</v>
      </c>
      <c r="T2" s="22" t="str">
        <f>IF(OR(Tabla1[[#This Row],[TOTAL]]&gt;=20000000,Tabla1[[#This Row],[CARGO]]="Ginecológa"),"H.San Vicente de Paul","H.San Juan de Dios")</f>
        <v>H.San Juan de Dios</v>
      </c>
      <c r="U2" s="22" t="str">
        <f>IF(OR(Tabla1[[#This Row],[TRASLADO]]="H.San Juan de Dios",Tabla1[[#This Row],[CARGO]]="Médico Cirujano"),"Sabaneta","Envigado")</f>
        <v>Sabaneta</v>
      </c>
      <c r="V2" s="22" t="str">
        <f>IF(Tabla1[[#This Row],[OCTUBRE]]&gt;=980000,"Cancum",75000)</f>
        <v>Cancum</v>
      </c>
      <c r="W2" s="22" t="str">
        <f>IF(OR(Tabla1[[#This Row],[CIUDAD]]="Medellín",Tabla1[[#This Row],[CARGO]]="Médico Internista"),"Bogotá","Cali")</f>
        <v>Cali</v>
      </c>
      <c r="X2" s="22" t="str">
        <f>IF(OR(Tabla1[[#This Row],[HOSPITAL]]="Manuel Uribe Angel",Tabla1[[#This Row],[CARGO]]="Pediatra"),"Jefe de Cardiología","Sala de Partos")</f>
        <v>Sala de Partos</v>
      </c>
      <c r="Y2" s="22">
        <f>IF(Tabla1[[#This Row],[SALARIO]]&lt;=4100000,100000,50000)</f>
        <v>100000</v>
      </c>
      <c r="Z2" s="22">
        <f>IF(AND(Tabla1[[#This Row],[SEPTIEMBRE]]&gt;=1500000,Tabla1[[#This Row],[TRASLADO]]="H.San Vicente de Paul"),Tabla1[[#This Row],[SEPTIEMBRE]]*30%,Tabla1[[#This Row],[SEPTIEMBRE]]*15%)</f>
        <v>74975.625</v>
      </c>
      <c r="AA2" s="22" t="str">
        <f>IF(OR(Tabla1[[#This Row],[HOSPITAL]]="Gabriel Jaramillo Piedrahita",Tabla1[[#This Row],[PREMIO]]=75000),"Jefe de Internistas","Ginecología")</f>
        <v>Ginecología</v>
      </c>
      <c r="AB2" s="22">
        <f>IF(AND(Tabla1[[#This Row],[TOTAL]]&gt;=60000000,Tabla1[[#This Row],[NEWSEDE]]="Cali"),Tabla1[[#This Row],[TOTAL]]/3,Tabla1[[#This Row],[TOTAL]]/5)</f>
        <v>3357765.5142857144</v>
      </c>
      <c r="AC2" s="22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2" s="22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Lunes</v>
      </c>
    </row>
    <row r="3" spans="1:30" x14ac:dyDescent="0.25">
      <c r="A3" s="8">
        <v>16899949</v>
      </c>
      <c r="B3" s="4" t="s">
        <v>20</v>
      </c>
      <c r="C3" s="3" t="s">
        <v>58</v>
      </c>
      <c r="D3" s="4" t="s">
        <v>65</v>
      </c>
      <c r="E3" s="5" t="s">
        <v>68</v>
      </c>
      <c r="F3" s="5">
        <v>13387700</v>
      </c>
      <c r="G3" s="5">
        <f>Tabla1[[#This Row],[SALARIO]]*10%</f>
        <v>1338770</v>
      </c>
      <c r="H3" s="5">
        <f>Tabla1[[#This Row],[ENERO]]*5</f>
        <v>6693850</v>
      </c>
      <c r="I3" s="5">
        <f>Tabla1[[#This Row],[FEBRERO]]*80%</f>
        <v>5355080</v>
      </c>
      <c r="J3" s="5">
        <f>SUM(Tabla1[[#This Row],[ENERO]:[FEBRERO]])</f>
        <v>8032620</v>
      </c>
      <c r="K3" s="5">
        <f>Tabla1[[#This Row],[ABRIL]]/2</f>
        <v>4016310</v>
      </c>
      <c r="L3" s="5">
        <f>Tabla1[[#This Row],[FEBRERO]]/2</f>
        <v>3346925</v>
      </c>
      <c r="M3" s="5">
        <f>Tabla1[[#This Row],[ABRIL]]-Tabla1[[#This Row],[ENERO]]</f>
        <v>6693850</v>
      </c>
      <c r="N3" s="5">
        <f>Tabla1[[#This Row],[ENERO]]*3</f>
        <v>4016310</v>
      </c>
      <c r="O3" s="5">
        <f>Tabla1[[#This Row],[FEBRERO]]/4</f>
        <v>1673462.5</v>
      </c>
      <c r="P3" s="5">
        <f>AVERAGE(Tabla1[[#This Row],[ENERO]:[JULIO]])</f>
        <v>5068200.7142857146</v>
      </c>
      <c r="Q3" s="5">
        <f>Tabla1[[#This Row],[ABRIL]]*20%+Tabla1[[#This Row],[ABRIL]]</f>
        <v>9639144</v>
      </c>
      <c r="R3" s="5">
        <f>Tabla1[[#This Row],[ENERO]]-Tabla1[[#This Row],[ENERO]]*75%</f>
        <v>334692.5</v>
      </c>
      <c r="S3" s="9">
        <f>SUM(Tabla1[[#This Row],[ENERO]:[DICIEMBRE]])</f>
        <v>56209214.714285716</v>
      </c>
      <c r="T3" s="5" t="str">
        <f>IF(OR(Tabla1[[#This Row],[TOTAL]]&gt;=20000000,Tabla1[[#This Row],[CARGO]]="Ginecológa"),"H.San Vicente de Paul","H.San Juan de Dios")</f>
        <v>H.San Vicente de Paul</v>
      </c>
      <c r="U3" s="5" t="str">
        <f>IF(OR(Tabla1[[#This Row],[TRASLADO]]="H.San Juan de Dios",Tabla1[[#This Row],[CARGO]]="Médico Cirujano"),"Sabaneta","Envigado")</f>
        <v>Sabaneta</v>
      </c>
      <c r="V3" s="5" t="str">
        <f>IF(Tabla1[[#This Row],[OCTUBRE]]&gt;=980000,"Cancum",75000)</f>
        <v>Cancum</v>
      </c>
      <c r="W3" s="5" t="str">
        <f>IF(OR(Tabla1[[#This Row],[CIUDAD]]="Medellín",Tabla1[[#This Row],[CARGO]]="Médico Internista"),"Bogotá","Cali")</f>
        <v>Cali</v>
      </c>
      <c r="X3" s="5" t="str">
        <f>IF(OR(Tabla1[[#This Row],[HOSPITAL]]="Manuel Uribe Angel",Tabla1[[#This Row],[CARGO]]="Pediatra"),"Jefe de Cardiología","Sala de Partos")</f>
        <v>Sala de Partos</v>
      </c>
      <c r="Y3" s="5">
        <f>IF(Tabla1[[#This Row],[SALARIO]]&lt;=4100000,100000,50000)</f>
        <v>50000</v>
      </c>
      <c r="Z3" s="5">
        <f>IF(AND(Tabla1[[#This Row],[SEPTIEMBRE]]&gt;=1500000,Tabla1[[#This Row],[TRASLADO]]="H.San Vicente de Paul"),Tabla1[[#This Row],[SEPTIEMBRE]]*30%,Tabla1[[#This Row],[SEPTIEMBRE]]*15%)</f>
        <v>502038.75</v>
      </c>
      <c r="AA3" s="5" t="str">
        <f>IF(OR(Tabla1[[#This Row],[HOSPITAL]]="Gabriel Jaramillo Piedrahita",Tabla1[[#This Row],[PREMIO]]=75000),"Jefe de Internistas","Ginecología")</f>
        <v>Ginecología</v>
      </c>
      <c r="AB3" s="5">
        <f>IF(AND(Tabla1[[#This Row],[TOTAL]]&gt;=60000000,Tabla1[[#This Row],[NEWSEDE]]="Cali"),Tabla1[[#This Row],[TOTAL]]/3,Tabla1[[#This Row],[TOTAL]]/5)</f>
        <v>11241842.942857143</v>
      </c>
      <c r="AC3" s="5" t="str">
        <f>IF(AND(Tabla1[[#This Row],[HOSPITAL]]="San Vicente de Paul",Tabla1[[#This Row],[CARGO]]="Médico Cirujano"),"Negro",IF(AND(Tabla1[[#This Row],[HOSPITAL]]="San Juan de Dios",Tabla1[[#This Row],[CARGO]]="Ginecóloga"),"Azul","Gris"))</f>
        <v>Negro</v>
      </c>
      <c r="AD3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4" spans="1:30" x14ac:dyDescent="0.25">
      <c r="A4" s="8">
        <v>12699723</v>
      </c>
      <c r="B4" s="2" t="s">
        <v>21</v>
      </c>
      <c r="C4" s="3" t="s">
        <v>59</v>
      </c>
      <c r="D4" s="4" t="s">
        <v>65</v>
      </c>
      <c r="E4" s="5" t="s">
        <v>69</v>
      </c>
      <c r="F4" s="5">
        <v>7557400</v>
      </c>
      <c r="G4" s="5">
        <f>Tabla1[[#This Row],[SALARIO]]*10%</f>
        <v>755740</v>
      </c>
      <c r="H4" s="5">
        <f>Tabla1[[#This Row],[ENERO]]*5</f>
        <v>3778700</v>
      </c>
      <c r="I4" s="5">
        <f>Tabla1[[#This Row],[FEBRERO]]*80%</f>
        <v>3022960</v>
      </c>
      <c r="J4" s="5">
        <f>SUM(Tabla1[[#This Row],[ENERO]:[FEBRERO]])</f>
        <v>4534440</v>
      </c>
      <c r="K4" s="5">
        <f>Tabla1[[#This Row],[ABRIL]]/2</f>
        <v>2267220</v>
      </c>
      <c r="L4" s="5">
        <f>Tabla1[[#This Row],[FEBRERO]]/2</f>
        <v>1889350</v>
      </c>
      <c r="M4" s="5">
        <f>Tabla1[[#This Row],[ABRIL]]-Tabla1[[#This Row],[ENERO]]</f>
        <v>3778700</v>
      </c>
      <c r="N4" s="5">
        <f>Tabla1[[#This Row],[ENERO]]*3</f>
        <v>2267220</v>
      </c>
      <c r="O4" s="5">
        <f>Tabla1[[#This Row],[FEBRERO]]/4</f>
        <v>944675</v>
      </c>
      <c r="P4" s="5">
        <f>AVERAGE(Tabla1[[#This Row],[ENERO]:[JULIO]])</f>
        <v>2861015.7142857141</v>
      </c>
      <c r="Q4" s="5">
        <f>Tabla1[[#This Row],[ABRIL]]*20%+Tabla1[[#This Row],[ABRIL]]</f>
        <v>5441328</v>
      </c>
      <c r="R4" s="5">
        <f>Tabla1[[#This Row],[ENERO]]-Tabla1[[#This Row],[ENERO]]*75%</f>
        <v>188935</v>
      </c>
      <c r="S4" s="9">
        <f>SUM(Tabla1[[#This Row],[ENERO]:[DICIEMBRE]])</f>
        <v>31730283.714285713</v>
      </c>
      <c r="T4" s="5" t="str">
        <f>IF(OR(Tabla1[[#This Row],[TOTAL]]&gt;=20000000,Tabla1[[#This Row],[CARGO]]="Ginecológa"),"H.San Vicente de Paul","H.San Juan de Dios")</f>
        <v>H.San Vicente de Paul</v>
      </c>
      <c r="U4" s="5" t="str">
        <f>IF(OR(Tabla1[[#This Row],[TRASLADO]]="H.San Juan de Dios",Tabla1[[#This Row],[CARGO]]="Médico Cirujano"),"Sabaneta","Envigado")</f>
        <v>Sabaneta</v>
      </c>
      <c r="V4" s="5" t="str">
        <f>IF(Tabla1[[#This Row],[OCTUBRE]]&gt;=980000,"Cancum",75000)</f>
        <v>Cancum</v>
      </c>
      <c r="W4" s="5" t="str">
        <f>IF(OR(Tabla1[[#This Row],[CIUDAD]]="Medellín",Tabla1[[#This Row],[CARGO]]="Médico Internista"),"Bogotá","Cali")</f>
        <v>Cali</v>
      </c>
      <c r="X4" s="5" t="str">
        <f>IF(OR(Tabla1[[#This Row],[HOSPITAL]]="Manuel Uribe Angel",Tabla1[[#This Row],[CARGO]]="Pediatra"),"Jefe de Cardiología","Sala de Partos")</f>
        <v>Sala de Partos</v>
      </c>
      <c r="Y4" s="5">
        <f>IF(Tabla1[[#This Row],[SALARIO]]&lt;=4100000,100000,50000)</f>
        <v>50000</v>
      </c>
      <c r="Z4" s="5">
        <f>IF(AND(Tabla1[[#This Row],[SEPTIEMBRE]]&gt;=1500000,Tabla1[[#This Row],[TRASLADO]]="H.San Vicente de Paul"),Tabla1[[#This Row],[SEPTIEMBRE]]*30%,Tabla1[[#This Row],[SEPTIEMBRE]]*15%)</f>
        <v>141701.25</v>
      </c>
      <c r="AA4" s="5" t="str">
        <f>IF(OR(Tabla1[[#This Row],[HOSPITAL]]="Gabriel Jaramillo Piedrahita",Tabla1[[#This Row],[PREMIO]]=75000),"Jefe de Internistas","Ginecología")</f>
        <v>Ginecología</v>
      </c>
      <c r="AB4" s="5">
        <f>IF(AND(Tabla1[[#This Row],[TOTAL]]&gt;=60000000,Tabla1[[#This Row],[NEWSEDE]]="Cali"),Tabla1[[#This Row],[TOTAL]]/3,Tabla1[[#This Row],[TOTAL]]/5)</f>
        <v>6346056.7428571424</v>
      </c>
      <c r="AC4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4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Lunes</v>
      </c>
    </row>
    <row r="5" spans="1:30" x14ac:dyDescent="0.25">
      <c r="A5" s="8">
        <v>11285701</v>
      </c>
      <c r="B5" s="2" t="s">
        <v>22</v>
      </c>
      <c r="C5" s="3" t="s">
        <v>58</v>
      </c>
      <c r="D5" s="4" t="s">
        <v>65</v>
      </c>
      <c r="E5" s="5" t="s">
        <v>69</v>
      </c>
      <c r="F5" s="5">
        <v>8629200</v>
      </c>
      <c r="G5" s="5">
        <f>Tabla1[[#This Row],[SALARIO]]*10%</f>
        <v>862920</v>
      </c>
      <c r="H5" s="5">
        <f>Tabla1[[#This Row],[ENERO]]*5</f>
        <v>4314600</v>
      </c>
      <c r="I5" s="5">
        <f>Tabla1[[#This Row],[FEBRERO]]*80%</f>
        <v>3451680</v>
      </c>
      <c r="J5" s="5">
        <f>SUM(Tabla1[[#This Row],[ENERO]:[FEBRERO]])</f>
        <v>5177520</v>
      </c>
      <c r="K5" s="5">
        <f>Tabla1[[#This Row],[ABRIL]]/2</f>
        <v>2588760</v>
      </c>
      <c r="L5" s="5">
        <f>Tabla1[[#This Row],[FEBRERO]]/2</f>
        <v>2157300</v>
      </c>
      <c r="M5" s="5">
        <f>Tabla1[[#This Row],[ABRIL]]-Tabla1[[#This Row],[ENERO]]</f>
        <v>4314600</v>
      </c>
      <c r="N5" s="5">
        <f>Tabla1[[#This Row],[ENERO]]*3</f>
        <v>2588760</v>
      </c>
      <c r="O5" s="5">
        <f>Tabla1[[#This Row],[FEBRERO]]/4</f>
        <v>1078650</v>
      </c>
      <c r="P5" s="5">
        <f>AVERAGE(Tabla1[[#This Row],[ENERO]:[JULIO]])</f>
        <v>3266768.5714285714</v>
      </c>
      <c r="Q5" s="5">
        <f>Tabla1[[#This Row],[ABRIL]]*20%+Tabla1[[#This Row],[ABRIL]]</f>
        <v>6213024</v>
      </c>
      <c r="R5" s="5">
        <f>Tabla1[[#This Row],[ENERO]]-Tabla1[[#This Row],[ENERO]]*75%</f>
        <v>215730</v>
      </c>
      <c r="S5" s="9">
        <f>SUM(Tabla1[[#This Row],[ENERO]:[DICIEMBRE]])</f>
        <v>36230312.571428567</v>
      </c>
      <c r="T5" s="5" t="str">
        <f>IF(OR(Tabla1[[#This Row],[TOTAL]]&gt;=20000000,Tabla1[[#This Row],[CARGO]]="Ginecológa"),"H.San Vicente de Paul","H.San Juan de Dios")</f>
        <v>H.San Vicente de Paul</v>
      </c>
      <c r="U5" s="5" t="str">
        <f>IF(OR(Tabla1[[#This Row],[TRASLADO]]="H.San Juan de Dios",Tabla1[[#This Row],[CARGO]]="Médico Cirujano"),"Sabaneta","Envigado")</f>
        <v>Sabaneta</v>
      </c>
      <c r="V5" s="5" t="str">
        <f>IF(Tabla1[[#This Row],[OCTUBRE]]&gt;=980000,"Cancum",75000)</f>
        <v>Cancum</v>
      </c>
      <c r="W5" s="5" t="str">
        <f>IF(OR(Tabla1[[#This Row],[CIUDAD]]="Medellín",Tabla1[[#This Row],[CARGO]]="Médico Internista"),"Bogotá","Cali")</f>
        <v>Cali</v>
      </c>
      <c r="X5" s="5" t="str">
        <f>IF(OR(Tabla1[[#This Row],[HOSPITAL]]="Manuel Uribe Angel",Tabla1[[#This Row],[CARGO]]="Pediatra"),"Jefe de Cardiología","Sala de Partos")</f>
        <v>Sala de Partos</v>
      </c>
      <c r="Y5" s="5">
        <f>IF(Tabla1[[#This Row],[SALARIO]]&lt;=4100000,100000,50000)</f>
        <v>50000</v>
      </c>
      <c r="Z5" s="5">
        <f>IF(AND(Tabla1[[#This Row],[SEPTIEMBRE]]&gt;=1500000,Tabla1[[#This Row],[TRASLADO]]="H.San Vicente de Paul"),Tabla1[[#This Row],[SEPTIEMBRE]]*30%,Tabla1[[#This Row],[SEPTIEMBRE]]*15%)</f>
        <v>161797.5</v>
      </c>
      <c r="AA5" s="5" t="str">
        <f>IF(OR(Tabla1[[#This Row],[HOSPITAL]]="Gabriel Jaramillo Piedrahita",Tabla1[[#This Row],[PREMIO]]=75000),"Jefe de Internistas","Ginecología")</f>
        <v>Ginecología</v>
      </c>
      <c r="AB5" s="5">
        <f>IF(AND(Tabla1[[#This Row],[TOTAL]]&gt;=60000000,Tabla1[[#This Row],[NEWSEDE]]="Cali"),Tabla1[[#This Row],[TOTAL]]/3,Tabla1[[#This Row],[TOTAL]]/5)</f>
        <v>7246062.5142857134</v>
      </c>
      <c r="AC5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5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6" spans="1:30" x14ac:dyDescent="0.25">
      <c r="A6" s="8">
        <v>16910759</v>
      </c>
      <c r="B6" s="4" t="s">
        <v>23</v>
      </c>
      <c r="C6" s="3" t="s">
        <v>58</v>
      </c>
      <c r="D6" s="4" t="s">
        <v>65</v>
      </c>
      <c r="E6" s="5" t="s">
        <v>70</v>
      </c>
      <c r="F6" s="5">
        <v>13299400</v>
      </c>
      <c r="G6" s="5">
        <f>Tabla1[[#This Row],[SALARIO]]*10%</f>
        <v>1329940</v>
      </c>
      <c r="H6" s="5">
        <f>Tabla1[[#This Row],[ENERO]]*5</f>
        <v>6649700</v>
      </c>
      <c r="I6" s="5">
        <f>Tabla1[[#This Row],[FEBRERO]]*80%</f>
        <v>5319760</v>
      </c>
      <c r="J6" s="5">
        <f>SUM(Tabla1[[#This Row],[ENERO]:[FEBRERO]])</f>
        <v>7979640</v>
      </c>
      <c r="K6" s="5">
        <f>Tabla1[[#This Row],[ABRIL]]/2</f>
        <v>3989820</v>
      </c>
      <c r="L6" s="5">
        <f>Tabla1[[#This Row],[FEBRERO]]/2</f>
        <v>3324850</v>
      </c>
      <c r="M6" s="5">
        <f>Tabla1[[#This Row],[ABRIL]]-Tabla1[[#This Row],[ENERO]]</f>
        <v>6649700</v>
      </c>
      <c r="N6" s="5">
        <f>Tabla1[[#This Row],[ENERO]]*3</f>
        <v>3989820</v>
      </c>
      <c r="O6" s="5">
        <f>Tabla1[[#This Row],[FEBRERO]]/4</f>
        <v>1662425</v>
      </c>
      <c r="P6" s="5">
        <f>AVERAGE(Tabla1[[#This Row],[ENERO]:[JULIO]])</f>
        <v>5034772.8571428573</v>
      </c>
      <c r="Q6" s="5">
        <f>Tabla1[[#This Row],[ABRIL]]*20%+Tabla1[[#This Row],[ABRIL]]</f>
        <v>9575568</v>
      </c>
      <c r="R6" s="5">
        <f>Tabla1[[#This Row],[ENERO]]-Tabla1[[#This Row],[ENERO]]*75%</f>
        <v>332485</v>
      </c>
      <c r="S6" s="9">
        <f>SUM(Tabla1[[#This Row],[ENERO]:[DICIEMBRE]])</f>
        <v>55838480.857142858</v>
      </c>
      <c r="T6" s="5" t="str">
        <f>IF(OR(Tabla1[[#This Row],[TOTAL]]&gt;=20000000,Tabla1[[#This Row],[CARGO]]="Ginecológa"),"H.San Vicente de Paul","H.San Juan de Dios")</f>
        <v>H.San Vicente de Paul</v>
      </c>
      <c r="U6" s="5" t="str">
        <f>IF(OR(Tabla1[[#This Row],[TRASLADO]]="H.San Juan de Dios",Tabla1[[#This Row],[CARGO]]="Médico Cirujano"),"Sabaneta","Envigado")</f>
        <v>Sabaneta</v>
      </c>
      <c r="V6" s="5" t="str">
        <f>IF(Tabla1[[#This Row],[OCTUBRE]]&gt;=980000,"Cancum",75000)</f>
        <v>Cancum</v>
      </c>
      <c r="W6" s="5" t="str">
        <f>IF(OR(Tabla1[[#This Row],[CIUDAD]]="Medellín",Tabla1[[#This Row],[CARGO]]="Médico Internista"),"Bogotá","Cali")</f>
        <v>Cali</v>
      </c>
      <c r="X6" s="5" t="str">
        <f>IF(OR(Tabla1[[#This Row],[HOSPITAL]]="Manuel Uribe Angel",Tabla1[[#This Row],[CARGO]]="Pediatra"),"Jefe de Cardiología","Sala de Partos")</f>
        <v>Sala de Partos</v>
      </c>
      <c r="Y6" s="5">
        <f>IF(Tabla1[[#This Row],[SALARIO]]&lt;=4100000,100000,50000)</f>
        <v>50000</v>
      </c>
      <c r="Z6" s="5">
        <f>IF(AND(Tabla1[[#This Row],[SEPTIEMBRE]]&gt;=1500000,Tabla1[[#This Row],[TRASLADO]]="H.San Vicente de Paul"),Tabla1[[#This Row],[SEPTIEMBRE]]*30%,Tabla1[[#This Row],[SEPTIEMBRE]]*15%)</f>
        <v>498727.5</v>
      </c>
      <c r="AA6" s="5" t="str">
        <f>IF(OR(Tabla1[[#This Row],[HOSPITAL]]="Gabriel Jaramillo Piedrahita",Tabla1[[#This Row],[PREMIO]]=75000),"Jefe de Internistas","Ginecología")</f>
        <v>Jefe de Internistas</v>
      </c>
      <c r="AB6" s="5">
        <f>IF(AND(Tabla1[[#This Row],[TOTAL]]&gt;=60000000,Tabla1[[#This Row],[NEWSEDE]]="Cali"),Tabla1[[#This Row],[TOTAL]]/3,Tabla1[[#This Row],[TOTAL]]/5)</f>
        <v>11167696.171428572</v>
      </c>
      <c r="AC6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6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7" spans="1:30" x14ac:dyDescent="0.25">
      <c r="A7" s="8">
        <v>3041233</v>
      </c>
      <c r="B7" s="4" t="s">
        <v>24</v>
      </c>
      <c r="C7" s="3" t="s">
        <v>58</v>
      </c>
      <c r="D7" s="4" t="s">
        <v>65</v>
      </c>
      <c r="E7" s="5" t="s">
        <v>69</v>
      </c>
      <c r="F7" s="5">
        <v>913300</v>
      </c>
      <c r="G7" s="5">
        <f>Tabla1[[#This Row],[SALARIO]]*10%</f>
        <v>91330</v>
      </c>
      <c r="H7" s="5">
        <f>Tabla1[[#This Row],[ENERO]]*5</f>
        <v>456650</v>
      </c>
      <c r="I7" s="5">
        <f>Tabla1[[#This Row],[FEBRERO]]*80%</f>
        <v>365320</v>
      </c>
      <c r="J7" s="5">
        <f>SUM(Tabla1[[#This Row],[ENERO]:[FEBRERO]])</f>
        <v>547980</v>
      </c>
      <c r="K7" s="5">
        <f>Tabla1[[#This Row],[ABRIL]]/2</f>
        <v>273990</v>
      </c>
      <c r="L7" s="5">
        <f>Tabla1[[#This Row],[FEBRERO]]/2</f>
        <v>228325</v>
      </c>
      <c r="M7" s="5">
        <f>Tabla1[[#This Row],[ABRIL]]-Tabla1[[#This Row],[ENERO]]</f>
        <v>456650</v>
      </c>
      <c r="N7" s="5">
        <f>Tabla1[[#This Row],[ENERO]]*3</f>
        <v>273990</v>
      </c>
      <c r="O7" s="5">
        <f>Tabla1[[#This Row],[FEBRERO]]/4</f>
        <v>114162.5</v>
      </c>
      <c r="P7" s="5">
        <f>AVERAGE(Tabla1[[#This Row],[ENERO]:[JULIO]])</f>
        <v>345749.28571428574</v>
      </c>
      <c r="Q7" s="5">
        <f>Tabla1[[#This Row],[ABRIL]]*20%+Tabla1[[#This Row],[ABRIL]]</f>
        <v>657576</v>
      </c>
      <c r="R7" s="5">
        <f>Tabla1[[#This Row],[ENERO]]-Tabla1[[#This Row],[ENERO]]*75%</f>
        <v>22832.5</v>
      </c>
      <c r="S7" s="9">
        <f>SUM(Tabla1[[#This Row],[ENERO]:[DICIEMBRE]])</f>
        <v>3834555.2857142859</v>
      </c>
      <c r="T7" s="5" t="str">
        <f>IF(OR(Tabla1[[#This Row],[TOTAL]]&gt;=20000000,Tabla1[[#This Row],[CARGO]]="Ginecológa"),"H.San Vicente de Paul","H.San Juan de Dios")</f>
        <v>H.San Juan de Dios</v>
      </c>
      <c r="U7" s="5" t="str">
        <f>IF(OR(Tabla1[[#This Row],[TRASLADO]]="H.San Juan de Dios",Tabla1[[#This Row],[CARGO]]="Médico Cirujano"),"Sabaneta","Envigado")</f>
        <v>Sabaneta</v>
      </c>
      <c r="V7" s="5">
        <f>IF(Tabla1[[#This Row],[OCTUBRE]]&gt;=980000,"Cancum",75000)</f>
        <v>75000</v>
      </c>
      <c r="W7" s="5" t="str">
        <f>IF(OR(Tabla1[[#This Row],[CIUDAD]]="Medellín",Tabla1[[#This Row],[CARGO]]="Médico Internista"),"Bogotá","Cali")</f>
        <v>Cali</v>
      </c>
      <c r="X7" s="5" t="str">
        <f>IF(OR(Tabla1[[#This Row],[HOSPITAL]]="Manuel Uribe Angel",Tabla1[[#This Row],[CARGO]]="Pediatra"),"Jefe de Cardiología","Sala de Partos")</f>
        <v>Sala de Partos</v>
      </c>
      <c r="Y7" s="5">
        <f>IF(Tabla1[[#This Row],[SALARIO]]&lt;=4100000,100000,50000)</f>
        <v>100000</v>
      </c>
      <c r="Z7" s="5">
        <f>IF(AND(Tabla1[[#This Row],[SEPTIEMBRE]]&gt;=1500000,Tabla1[[#This Row],[TRASLADO]]="H.San Vicente de Paul"),Tabla1[[#This Row],[SEPTIEMBRE]]*30%,Tabla1[[#This Row],[SEPTIEMBRE]]*15%)</f>
        <v>17124.375</v>
      </c>
      <c r="AA7" s="5" t="str">
        <f>IF(OR(Tabla1[[#This Row],[HOSPITAL]]="Gabriel Jaramillo Piedrahita",Tabla1[[#This Row],[PREMIO]]=75000),"Jefe de Internistas","Ginecología")</f>
        <v>Jefe de Internistas</v>
      </c>
      <c r="AB7" s="5">
        <f>IF(AND(Tabla1[[#This Row],[TOTAL]]&gt;=60000000,Tabla1[[#This Row],[NEWSEDE]]="Cali"),Tabla1[[#This Row],[TOTAL]]/3,Tabla1[[#This Row],[TOTAL]]/5)</f>
        <v>766911.05714285723</v>
      </c>
      <c r="AC7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7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8" spans="1:30" x14ac:dyDescent="0.25">
      <c r="A8" s="8">
        <v>12009867</v>
      </c>
      <c r="B8" s="2" t="s">
        <v>25</v>
      </c>
      <c r="C8" s="3" t="s">
        <v>58</v>
      </c>
      <c r="D8" s="4" t="s">
        <v>65</v>
      </c>
      <c r="E8" s="5" t="s">
        <v>70</v>
      </c>
      <c r="F8" s="5">
        <v>9353300</v>
      </c>
      <c r="G8" s="5">
        <f>Tabla1[[#This Row],[SALARIO]]*10%</f>
        <v>935330</v>
      </c>
      <c r="H8" s="5">
        <f>Tabla1[[#This Row],[ENERO]]*5</f>
        <v>4676650</v>
      </c>
      <c r="I8" s="5">
        <f>Tabla1[[#This Row],[FEBRERO]]*80%</f>
        <v>3741320</v>
      </c>
      <c r="J8" s="5">
        <f>SUM(Tabla1[[#This Row],[ENERO]:[FEBRERO]])</f>
        <v>5611980</v>
      </c>
      <c r="K8" s="5">
        <f>Tabla1[[#This Row],[ABRIL]]/2</f>
        <v>2805990</v>
      </c>
      <c r="L8" s="5">
        <f>Tabla1[[#This Row],[FEBRERO]]/2</f>
        <v>2338325</v>
      </c>
      <c r="M8" s="5">
        <f>Tabla1[[#This Row],[ABRIL]]-Tabla1[[#This Row],[ENERO]]</f>
        <v>4676650</v>
      </c>
      <c r="N8" s="5">
        <f>Tabla1[[#This Row],[ENERO]]*3</f>
        <v>2805990</v>
      </c>
      <c r="O8" s="5">
        <f>Tabla1[[#This Row],[FEBRERO]]/4</f>
        <v>1169162.5</v>
      </c>
      <c r="P8" s="5">
        <f>AVERAGE(Tabla1[[#This Row],[ENERO]:[JULIO]])</f>
        <v>3540892.1428571427</v>
      </c>
      <c r="Q8" s="5">
        <f>Tabla1[[#This Row],[ABRIL]]*20%+Tabla1[[#This Row],[ABRIL]]</f>
        <v>6734376</v>
      </c>
      <c r="R8" s="5">
        <f>Tabla1[[#This Row],[ENERO]]-Tabla1[[#This Row],[ENERO]]*75%</f>
        <v>233832.5</v>
      </c>
      <c r="S8" s="9">
        <f>SUM(Tabla1[[#This Row],[ENERO]:[DICIEMBRE]])</f>
        <v>39270498.142857142</v>
      </c>
      <c r="T8" s="5" t="str">
        <f>IF(OR(Tabla1[[#This Row],[TOTAL]]&gt;=20000000,Tabla1[[#This Row],[CARGO]]="Ginecológa"),"H.San Vicente de Paul","H.San Juan de Dios")</f>
        <v>H.San Vicente de Paul</v>
      </c>
      <c r="U8" s="5" t="str">
        <f>IF(OR(Tabla1[[#This Row],[TRASLADO]]="H.San Juan de Dios",Tabla1[[#This Row],[CARGO]]="Médico Cirujano"),"Sabaneta","Envigado")</f>
        <v>Sabaneta</v>
      </c>
      <c r="V8" s="5" t="str">
        <f>IF(Tabla1[[#This Row],[OCTUBRE]]&gt;=980000,"Cancum",75000)</f>
        <v>Cancum</v>
      </c>
      <c r="W8" s="5" t="str">
        <f>IF(OR(Tabla1[[#This Row],[CIUDAD]]="Medellín",Tabla1[[#This Row],[CARGO]]="Médico Internista"),"Bogotá","Cali")</f>
        <v>Cali</v>
      </c>
      <c r="X8" s="5" t="str">
        <f>IF(OR(Tabla1[[#This Row],[HOSPITAL]]="Manuel Uribe Angel",Tabla1[[#This Row],[CARGO]]="Pediatra"),"Jefe de Cardiología","Sala de Partos")</f>
        <v>Sala de Partos</v>
      </c>
      <c r="Y8" s="5">
        <f>IF(Tabla1[[#This Row],[SALARIO]]&lt;=4100000,100000,50000)</f>
        <v>50000</v>
      </c>
      <c r="Z8" s="5">
        <f>IF(AND(Tabla1[[#This Row],[SEPTIEMBRE]]&gt;=1500000,Tabla1[[#This Row],[TRASLADO]]="H.San Vicente de Paul"),Tabla1[[#This Row],[SEPTIEMBRE]]*30%,Tabla1[[#This Row],[SEPTIEMBRE]]*15%)</f>
        <v>175374.375</v>
      </c>
      <c r="AA8" s="5" t="str">
        <f>IF(OR(Tabla1[[#This Row],[HOSPITAL]]="Gabriel Jaramillo Piedrahita",Tabla1[[#This Row],[PREMIO]]=75000),"Jefe de Internistas","Ginecología")</f>
        <v>Jefe de Internistas</v>
      </c>
      <c r="AB8" s="5">
        <f>IF(AND(Tabla1[[#This Row],[TOTAL]]&gt;=60000000,Tabla1[[#This Row],[NEWSEDE]]="Cali"),Tabla1[[#This Row],[TOTAL]]/3,Tabla1[[#This Row],[TOTAL]]/5)</f>
        <v>7854099.6285714284</v>
      </c>
      <c r="AC8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8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9" spans="1:30" x14ac:dyDescent="0.25">
      <c r="A9" s="8">
        <v>15126141</v>
      </c>
      <c r="B9" s="4" t="s">
        <v>26</v>
      </c>
      <c r="C9" s="3" t="s">
        <v>58</v>
      </c>
      <c r="D9" s="4" t="s">
        <v>67</v>
      </c>
      <c r="E9" s="6" t="s">
        <v>69</v>
      </c>
      <c r="F9" s="5">
        <v>12467600</v>
      </c>
      <c r="G9" s="5">
        <f>Tabla1[[#This Row],[SALARIO]]*10%</f>
        <v>1246760</v>
      </c>
      <c r="H9" s="5">
        <f>Tabla1[[#This Row],[ENERO]]*5</f>
        <v>6233800</v>
      </c>
      <c r="I9" s="5">
        <f>Tabla1[[#This Row],[FEBRERO]]*80%</f>
        <v>4987040</v>
      </c>
      <c r="J9" s="5">
        <f>SUM(Tabla1[[#This Row],[ENERO]:[FEBRERO]])</f>
        <v>7480560</v>
      </c>
      <c r="K9" s="5">
        <f>Tabla1[[#This Row],[ABRIL]]/2</f>
        <v>3740280</v>
      </c>
      <c r="L9" s="5">
        <f>Tabla1[[#This Row],[FEBRERO]]/2</f>
        <v>3116900</v>
      </c>
      <c r="M9" s="5">
        <f>Tabla1[[#This Row],[ABRIL]]-Tabla1[[#This Row],[ENERO]]</f>
        <v>6233800</v>
      </c>
      <c r="N9" s="5">
        <f>Tabla1[[#This Row],[ENERO]]*3</f>
        <v>3740280</v>
      </c>
      <c r="O9" s="5">
        <f>Tabla1[[#This Row],[FEBRERO]]/4</f>
        <v>1558450</v>
      </c>
      <c r="P9" s="5">
        <f>AVERAGE(Tabla1[[#This Row],[ENERO]:[JULIO]])</f>
        <v>4719877.1428571427</v>
      </c>
      <c r="Q9" s="5">
        <f>Tabla1[[#This Row],[ABRIL]]*20%+Tabla1[[#This Row],[ABRIL]]</f>
        <v>8976672</v>
      </c>
      <c r="R9" s="5">
        <f>Tabla1[[#This Row],[ENERO]]-Tabla1[[#This Row],[ENERO]]*75%</f>
        <v>311690</v>
      </c>
      <c r="S9" s="9">
        <f>SUM(Tabla1[[#This Row],[ENERO]:[DICIEMBRE]])</f>
        <v>52346109.142857142</v>
      </c>
      <c r="T9" s="5" t="str">
        <f>IF(OR(Tabla1[[#This Row],[TOTAL]]&gt;=20000000,Tabla1[[#This Row],[CARGO]]="Ginecológa"),"H.San Vicente de Paul","H.San Juan de Dios")</f>
        <v>H.San Vicente de Paul</v>
      </c>
      <c r="U9" s="5" t="str">
        <f>IF(OR(Tabla1[[#This Row],[TRASLADO]]="H.San Juan de Dios",Tabla1[[#This Row],[CARGO]]="Médico Cirujano"),"Sabaneta","Envigado")</f>
        <v>Envigado</v>
      </c>
      <c r="V9" s="5" t="str">
        <f>IF(Tabla1[[#This Row],[OCTUBRE]]&gt;=980000,"Cancum",75000)</f>
        <v>Cancum</v>
      </c>
      <c r="W9" s="5" t="str">
        <f>IF(OR(Tabla1[[#This Row],[CIUDAD]]="Medellín",Tabla1[[#This Row],[CARGO]]="Médico Internista"),"Bogotá","Cali")</f>
        <v>Cali</v>
      </c>
      <c r="X9" s="5" t="str">
        <f>IF(OR(Tabla1[[#This Row],[HOSPITAL]]="Manuel Uribe Angel",Tabla1[[#This Row],[CARGO]]="Pediatra"),"Jefe de Cardiología","Sala de Partos")</f>
        <v>Sala de Partos</v>
      </c>
      <c r="Y9" s="5">
        <f>IF(Tabla1[[#This Row],[SALARIO]]&lt;=4100000,100000,50000)</f>
        <v>50000</v>
      </c>
      <c r="Z9" s="5">
        <f>IF(AND(Tabla1[[#This Row],[SEPTIEMBRE]]&gt;=1500000,Tabla1[[#This Row],[TRASLADO]]="H.San Vicente de Paul"),Tabla1[[#This Row],[SEPTIEMBRE]]*30%,Tabla1[[#This Row],[SEPTIEMBRE]]*15%)</f>
        <v>467535</v>
      </c>
      <c r="AA9" s="5" t="str">
        <f>IF(OR(Tabla1[[#This Row],[HOSPITAL]]="Gabriel Jaramillo Piedrahita",Tabla1[[#This Row],[PREMIO]]=75000),"Jefe de Internistas","Ginecología")</f>
        <v>Ginecología</v>
      </c>
      <c r="AB9" s="5">
        <f>IF(AND(Tabla1[[#This Row],[TOTAL]]&gt;=60000000,Tabla1[[#This Row],[NEWSEDE]]="Cali"),Tabla1[[#This Row],[TOTAL]]/3,Tabla1[[#This Row],[TOTAL]]/5)</f>
        <v>10469221.828571428</v>
      </c>
      <c r="AC9" s="5" t="str">
        <f>IF(AND(Tabla1[[#This Row],[HOSPITAL]]="San Vicente de Paul",Tabla1[[#This Row],[CARGO]]="Médico Cirujano"),"Negro",IF(AND(Tabla1[[#This Row],[HOSPITAL]]="San Juan de Dios",Tabla1[[#This Row],[CARGO]]="Ginecóloga"),"Azul","Gris"))</f>
        <v>Azul</v>
      </c>
      <c r="AD9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Lunes</v>
      </c>
    </row>
    <row r="10" spans="1:30" x14ac:dyDescent="0.25">
      <c r="A10" s="8">
        <v>20596945</v>
      </c>
      <c r="B10" s="2" t="s">
        <v>27</v>
      </c>
      <c r="C10" s="3" t="s">
        <v>58</v>
      </c>
      <c r="D10" s="4" t="s">
        <v>66</v>
      </c>
      <c r="E10" s="5" t="s">
        <v>69</v>
      </c>
      <c r="F10" s="5">
        <v>15486600</v>
      </c>
      <c r="G10" s="5">
        <f>Tabla1[[#This Row],[SALARIO]]*10%</f>
        <v>1548660</v>
      </c>
      <c r="H10" s="5">
        <f>Tabla1[[#This Row],[ENERO]]*5</f>
        <v>7743300</v>
      </c>
      <c r="I10" s="5">
        <f>Tabla1[[#This Row],[FEBRERO]]*80%</f>
        <v>6194640</v>
      </c>
      <c r="J10" s="5">
        <f>SUM(Tabla1[[#This Row],[ENERO]:[FEBRERO]])</f>
        <v>9291960</v>
      </c>
      <c r="K10" s="5">
        <f>Tabla1[[#This Row],[ABRIL]]/2</f>
        <v>4645980</v>
      </c>
      <c r="L10" s="5">
        <f>Tabla1[[#This Row],[FEBRERO]]/2</f>
        <v>3871650</v>
      </c>
      <c r="M10" s="5">
        <f>Tabla1[[#This Row],[ABRIL]]-Tabla1[[#This Row],[ENERO]]</f>
        <v>7743300</v>
      </c>
      <c r="N10" s="5">
        <f>Tabla1[[#This Row],[ENERO]]*3</f>
        <v>4645980</v>
      </c>
      <c r="O10" s="5">
        <f>Tabla1[[#This Row],[FEBRERO]]/4</f>
        <v>1935825</v>
      </c>
      <c r="P10" s="5">
        <f>AVERAGE(Tabla1[[#This Row],[ENERO]:[JULIO]])</f>
        <v>5862784.2857142854</v>
      </c>
      <c r="Q10" s="5">
        <f>Tabla1[[#This Row],[ABRIL]]*20%+Tabla1[[#This Row],[ABRIL]]</f>
        <v>11150352</v>
      </c>
      <c r="R10" s="5">
        <f>Tabla1[[#This Row],[ENERO]]-Tabla1[[#This Row],[ENERO]]*75%</f>
        <v>387165</v>
      </c>
      <c r="S10" s="9">
        <f>SUM(Tabla1[[#This Row],[ENERO]:[DICIEMBRE]])</f>
        <v>65021596.285714284</v>
      </c>
      <c r="T10" s="5" t="str">
        <f>IF(OR(Tabla1[[#This Row],[TOTAL]]&gt;=20000000,Tabla1[[#This Row],[CARGO]]="Ginecológa"),"H.San Vicente de Paul","H.San Juan de Dios")</f>
        <v>H.San Vicente de Paul</v>
      </c>
      <c r="U10" s="5" t="str">
        <f>IF(OR(Tabla1[[#This Row],[TRASLADO]]="H.San Juan de Dios",Tabla1[[#This Row],[CARGO]]="Médico Cirujano"),"Sabaneta","Envigado")</f>
        <v>Envigado</v>
      </c>
      <c r="V10" s="5" t="str">
        <f>IF(Tabla1[[#This Row],[OCTUBRE]]&gt;=980000,"Cancum",75000)</f>
        <v>Cancum</v>
      </c>
      <c r="W10" s="5" t="str">
        <f>IF(OR(Tabla1[[#This Row],[CIUDAD]]="Medellín",Tabla1[[#This Row],[CARGO]]="Médico Internista"),"Bogotá","Cali")</f>
        <v>Bogotá</v>
      </c>
      <c r="X10" s="5" t="str">
        <f>IF(OR(Tabla1[[#This Row],[HOSPITAL]]="Manuel Uribe Angel",Tabla1[[#This Row],[CARGO]]="Pediatra"),"Jefe de Cardiología","Sala de Partos")</f>
        <v>Sala de Partos</v>
      </c>
      <c r="Y10" s="5">
        <f>IF(Tabla1[[#This Row],[SALARIO]]&lt;=4100000,100000,50000)</f>
        <v>50000</v>
      </c>
      <c r="Z10" s="5">
        <f>IF(AND(Tabla1[[#This Row],[SEPTIEMBRE]]&gt;=1500000,Tabla1[[#This Row],[TRASLADO]]="H.San Vicente de Paul"),Tabla1[[#This Row],[SEPTIEMBRE]]*30%,Tabla1[[#This Row],[SEPTIEMBRE]]*15%)</f>
        <v>580747.5</v>
      </c>
      <c r="AA10" s="5" t="str">
        <f>IF(OR(Tabla1[[#This Row],[HOSPITAL]]="Gabriel Jaramillo Piedrahita",Tabla1[[#This Row],[PREMIO]]=75000),"Jefe de Internistas","Ginecología")</f>
        <v>Ginecología</v>
      </c>
      <c r="AB10" s="5">
        <f>IF(AND(Tabla1[[#This Row],[TOTAL]]&gt;=60000000,Tabla1[[#This Row],[NEWSEDE]]="Cali"),Tabla1[[#This Row],[TOTAL]]/3,Tabla1[[#This Row],[TOTAL]]/5)</f>
        <v>13004319.257142857</v>
      </c>
      <c r="AC10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10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Miercoles</v>
      </c>
    </row>
    <row r="11" spans="1:30" x14ac:dyDescent="0.25">
      <c r="A11" s="8">
        <v>9671297</v>
      </c>
      <c r="B11" s="2" t="s">
        <v>28</v>
      </c>
      <c r="C11" s="3" t="s">
        <v>60</v>
      </c>
      <c r="D11" s="4" t="s">
        <v>65</v>
      </c>
      <c r="E11" s="5" t="s">
        <v>68</v>
      </c>
      <c r="F11" s="5">
        <v>7112100</v>
      </c>
      <c r="G11" s="5">
        <f>Tabla1[[#This Row],[SALARIO]]*10%</f>
        <v>711210</v>
      </c>
      <c r="H11" s="5">
        <f>Tabla1[[#This Row],[ENERO]]*5</f>
        <v>3556050</v>
      </c>
      <c r="I11" s="5">
        <f>Tabla1[[#This Row],[FEBRERO]]*80%</f>
        <v>2844840</v>
      </c>
      <c r="J11" s="5">
        <f>SUM(Tabla1[[#This Row],[ENERO]:[FEBRERO]])</f>
        <v>4267260</v>
      </c>
      <c r="K11" s="5">
        <f>Tabla1[[#This Row],[ABRIL]]/2</f>
        <v>2133630</v>
      </c>
      <c r="L11" s="5">
        <f>Tabla1[[#This Row],[FEBRERO]]/2</f>
        <v>1778025</v>
      </c>
      <c r="M11" s="5">
        <f>Tabla1[[#This Row],[ABRIL]]-Tabla1[[#This Row],[ENERO]]</f>
        <v>3556050</v>
      </c>
      <c r="N11" s="5">
        <f>Tabla1[[#This Row],[ENERO]]*3</f>
        <v>2133630</v>
      </c>
      <c r="O11" s="5">
        <f>Tabla1[[#This Row],[FEBRERO]]/4</f>
        <v>889012.5</v>
      </c>
      <c r="P11" s="5">
        <f>AVERAGE(Tabla1[[#This Row],[ENERO]:[JULIO]])</f>
        <v>2692437.8571428573</v>
      </c>
      <c r="Q11" s="5">
        <f>Tabla1[[#This Row],[ABRIL]]*20%+Tabla1[[#This Row],[ABRIL]]</f>
        <v>5120712</v>
      </c>
      <c r="R11" s="5">
        <f>Tabla1[[#This Row],[ENERO]]-Tabla1[[#This Row],[ENERO]]*75%</f>
        <v>177802.5</v>
      </c>
      <c r="S11" s="9">
        <f>SUM(Tabla1[[#This Row],[ENERO]:[DICIEMBRE]])</f>
        <v>29860659.857142858</v>
      </c>
      <c r="T11" s="5" t="str">
        <f>IF(OR(Tabla1[[#This Row],[TOTAL]]&gt;=20000000,Tabla1[[#This Row],[CARGO]]="Ginecológa"),"H.San Vicente de Paul","H.San Juan de Dios")</f>
        <v>H.San Vicente de Paul</v>
      </c>
      <c r="U11" s="5" t="str">
        <f>IF(OR(Tabla1[[#This Row],[TRASLADO]]="H.San Juan de Dios",Tabla1[[#This Row],[CARGO]]="Médico Cirujano"),"Sabaneta","Envigado")</f>
        <v>Sabaneta</v>
      </c>
      <c r="V11" s="5" t="str">
        <f>IF(Tabla1[[#This Row],[OCTUBRE]]&gt;=980000,"Cancum",75000)</f>
        <v>Cancum</v>
      </c>
      <c r="W11" s="5" t="str">
        <f>IF(OR(Tabla1[[#This Row],[CIUDAD]]="Medellín",Tabla1[[#This Row],[CARGO]]="Médico Internista"),"Bogotá","Cali")</f>
        <v>Cali</v>
      </c>
      <c r="X11" s="5" t="str">
        <f>IF(OR(Tabla1[[#This Row],[HOSPITAL]]="Manuel Uribe Angel",Tabla1[[#This Row],[CARGO]]="Pediatra"),"Jefe de Cardiología","Sala de Partos")</f>
        <v>Sala de Partos</v>
      </c>
      <c r="Y11" s="5">
        <f>IF(Tabla1[[#This Row],[SALARIO]]&lt;=4100000,100000,50000)</f>
        <v>50000</v>
      </c>
      <c r="Z11" s="5">
        <f>IF(AND(Tabla1[[#This Row],[SEPTIEMBRE]]&gt;=1500000,Tabla1[[#This Row],[TRASLADO]]="H.San Vicente de Paul"),Tabla1[[#This Row],[SEPTIEMBRE]]*30%,Tabla1[[#This Row],[SEPTIEMBRE]]*15%)</f>
        <v>133351.875</v>
      </c>
      <c r="AA11" s="5" t="str">
        <f>IF(OR(Tabla1[[#This Row],[HOSPITAL]]="Gabriel Jaramillo Piedrahita",Tabla1[[#This Row],[PREMIO]]=75000),"Jefe de Internistas","Ginecología")</f>
        <v>Ginecología</v>
      </c>
      <c r="AB11" s="5">
        <f>IF(AND(Tabla1[[#This Row],[TOTAL]]&gt;=60000000,Tabla1[[#This Row],[NEWSEDE]]="Cali"),Tabla1[[#This Row],[TOTAL]]/3,Tabla1[[#This Row],[TOTAL]]/5)</f>
        <v>5972131.9714285713</v>
      </c>
      <c r="AC11" s="5" t="str">
        <f>IF(AND(Tabla1[[#This Row],[HOSPITAL]]="San Vicente de Paul",Tabla1[[#This Row],[CARGO]]="Médico Cirujano"),"Negro",IF(AND(Tabla1[[#This Row],[HOSPITAL]]="San Juan de Dios",Tabla1[[#This Row],[CARGO]]="Ginecóloga"),"Azul","Gris"))</f>
        <v>Negro</v>
      </c>
      <c r="AD11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12" spans="1:30" x14ac:dyDescent="0.25">
      <c r="A12" s="8">
        <v>17504883</v>
      </c>
      <c r="B12" s="2" t="s">
        <v>29</v>
      </c>
      <c r="C12" s="3" t="s">
        <v>58</v>
      </c>
      <c r="D12" s="4" t="s">
        <v>67</v>
      </c>
      <c r="E12" s="5" t="s">
        <v>69</v>
      </c>
      <c r="F12" s="5">
        <v>15394400</v>
      </c>
      <c r="G12" s="5">
        <f>Tabla1[[#This Row],[SALARIO]]*10%</f>
        <v>1539440</v>
      </c>
      <c r="H12" s="5">
        <f>Tabla1[[#This Row],[ENERO]]*5</f>
        <v>7697200</v>
      </c>
      <c r="I12" s="5">
        <f>Tabla1[[#This Row],[FEBRERO]]*80%</f>
        <v>6157760</v>
      </c>
      <c r="J12" s="5">
        <f>SUM(Tabla1[[#This Row],[ENERO]:[FEBRERO]])</f>
        <v>9236640</v>
      </c>
      <c r="K12" s="5">
        <f>Tabla1[[#This Row],[ABRIL]]/2</f>
        <v>4618320</v>
      </c>
      <c r="L12" s="5">
        <f>Tabla1[[#This Row],[FEBRERO]]/2</f>
        <v>3848600</v>
      </c>
      <c r="M12" s="5">
        <f>Tabla1[[#This Row],[ABRIL]]-Tabla1[[#This Row],[ENERO]]</f>
        <v>7697200</v>
      </c>
      <c r="N12" s="5">
        <f>Tabla1[[#This Row],[ENERO]]*3</f>
        <v>4618320</v>
      </c>
      <c r="O12" s="5">
        <f>Tabla1[[#This Row],[FEBRERO]]/4</f>
        <v>1924300</v>
      </c>
      <c r="P12" s="5">
        <f>AVERAGE(Tabla1[[#This Row],[ENERO]:[JULIO]])</f>
        <v>5827880</v>
      </c>
      <c r="Q12" s="5">
        <f>Tabla1[[#This Row],[ABRIL]]*20%+Tabla1[[#This Row],[ABRIL]]</f>
        <v>11083968</v>
      </c>
      <c r="R12" s="5">
        <f>Tabla1[[#This Row],[ENERO]]-Tabla1[[#This Row],[ENERO]]*75%</f>
        <v>384860</v>
      </c>
      <c r="S12" s="9">
        <f>SUM(Tabla1[[#This Row],[ENERO]:[DICIEMBRE]])</f>
        <v>64634488</v>
      </c>
      <c r="T12" s="5" t="str">
        <f>IF(OR(Tabla1[[#This Row],[TOTAL]]&gt;=20000000,Tabla1[[#This Row],[CARGO]]="Ginecológa"),"H.San Vicente de Paul","H.San Juan de Dios")</f>
        <v>H.San Vicente de Paul</v>
      </c>
      <c r="U12" s="5" t="str">
        <f>IF(OR(Tabla1[[#This Row],[TRASLADO]]="H.San Juan de Dios",Tabla1[[#This Row],[CARGO]]="Médico Cirujano"),"Sabaneta","Envigado")</f>
        <v>Envigado</v>
      </c>
      <c r="V12" s="5" t="str">
        <f>IF(Tabla1[[#This Row],[OCTUBRE]]&gt;=980000,"Cancum",75000)</f>
        <v>Cancum</v>
      </c>
      <c r="W12" s="5" t="str">
        <f>IF(OR(Tabla1[[#This Row],[CIUDAD]]="Medellín",Tabla1[[#This Row],[CARGO]]="Médico Internista"),"Bogotá","Cali")</f>
        <v>Cali</v>
      </c>
      <c r="X12" s="5" t="str">
        <f>IF(OR(Tabla1[[#This Row],[HOSPITAL]]="Manuel Uribe Angel",Tabla1[[#This Row],[CARGO]]="Pediatra"),"Jefe de Cardiología","Sala de Partos")</f>
        <v>Sala de Partos</v>
      </c>
      <c r="Y12" s="5">
        <f>IF(Tabla1[[#This Row],[SALARIO]]&lt;=4100000,100000,50000)</f>
        <v>50000</v>
      </c>
      <c r="Z12" s="5">
        <f>IF(AND(Tabla1[[#This Row],[SEPTIEMBRE]]&gt;=1500000,Tabla1[[#This Row],[TRASLADO]]="H.San Vicente de Paul"),Tabla1[[#This Row],[SEPTIEMBRE]]*30%,Tabla1[[#This Row],[SEPTIEMBRE]]*15%)</f>
        <v>577290</v>
      </c>
      <c r="AA12" s="5" t="str">
        <f>IF(OR(Tabla1[[#This Row],[HOSPITAL]]="Gabriel Jaramillo Piedrahita",Tabla1[[#This Row],[PREMIO]]=75000),"Jefe de Internistas","Ginecología")</f>
        <v>Ginecología</v>
      </c>
      <c r="AB12" s="5">
        <f>IF(AND(Tabla1[[#This Row],[TOTAL]]&gt;=60000000,Tabla1[[#This Row],[NEWSEDE]]="Cali"),Tabla1[[#This Row],[TOTAL]]/3,Tabla1[[#This Row],[TOTAL]]/5)</f>
        <v>21544829.333333332</v>
      </c>
      <c r="AC12" s="5" t="str">
        <f>IF(AND(Tabla1[[#This Row],[HOSPITAL]]="San Vicente de Paul",Tabla1[[#This Row],[CARGO]]="Médico Cirujano"),"Negro",IF(AND(Tabla1[[#This Row],[HOSPITAL]]="San Juan de Dios",Tabla1[[#This Row],[CARGO]]="Ginecóloga"),"Azul","Gris"))</f>
        <v>Azul</v>
      </c>
      <c r="AD12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Lunes</v>
      </c>
    </row>
    <row r="13" spans="1:30" x14ac:dyDescent="0.25">
      <c r="A13" s="8">
        <v>14331933</v>
      </c>
      <c r="B13" s="4" t="s">
        <v>30</v>
      </c>
      <c r="C13" s="3" t="s">
        <v>60</v>
      </c>
      <c r="D13" s="4" t="s">
        <v>65</v>
      </c>
      <c r="E13" s="5" t="s">
        <v>69</v>
      </c>
      <c r="F13" s="5">
        <v>11321400</v>
      </c>
      <c r="G13" s="5">
        <f>Tabla1[[#This Row],[SALARIO]]*10%</f>
        <v>1132140</v>
      </c>
      <c r="H13" s="5">
        <f>Tabla1[[#This Row],[ENERO]]*5</f>
        <v>5660700</v>
      </c>
      <c r="I13" s="5">
        <f>Tabla1[[#This Row],[FEBRERO]]*80%</f>
        <v>4528560</v>
      </c>
      <c r="J13" s="5">
        <f>SUM(Tabla1[[#This Row],[ENERO]:[FEBRERO]])</f>
        <v>6792840</v>
      </c>
      <c r="K13" s="5">
        <f>Tabla1[[#This Row],[ABRIL]]/2</f>
        <v>3396420</v>
      </c>
      <c r="L13" s="5">
        <f>Tabla1[[#This Row],[FEBRERO]]/2</f>
        <v>2830350</v>
      </c>
      <c r="M13" s="5">
        <f>Tabla1[[#This Row],[ABRIL]]-Tabla1[[#This Row],[ENERO]]</f>
        <v>5660700</v>
      </c>
      <c r="N13" s="5">
        <f>Tabla1[[#This Row],[ENERO]]*3</f>
        <v>3396420</v>
      </c>
      <c r="O13" s="5">
        <f>Tabla1[[#This Row],[FEBRERO]]/4</f>
        <v>1415175</v>
      </c>
      <c r="P13" s="5">
        <f>AVERAGE(Tabla1[[#This Row],[ENERO]:[JULIO]])</f>
        <v>4285958.5714285718</v>
      </c>
      <c r="Q13" s="5">
        <f>Tabla1[[#This Row],[ABRIL]]*20%+Tabla1[[#This Row],[ABRIL]]</f>
        <v>8151408</v>
      </c>
      <c r="R13" s="5">
        <f>Tabla1[[#This Row],[ENERO]]-Tabla1[[#This Row],[ENERO]]*75%</f>
        <v>283035</v>
      </c>
      <c r="S13" s="9">
        <f>SUM(Tabla1[[#This Row],[ENERO]:[DICIEMBRE]])</f>
        <v>47533706.571428575</v>
      </c>
      <c r="T13" s="5" t="str">
        <f>IF(OR(Tabla1[[#This Row],[TOTAL]]&gt;=20000000,Tabla1[[#This Row],[CARGO]]="Ginecológa"),"H.San Vicente de Paul","H.San Juan de Dios")</f>
        <v>H.San Vicente de Paul</v>
      </c>
      <c r="U13" s="5" t="str">
        <f>IF(OR(Tabla1[[#This Row],[TRASLADO]]="H.San Juan de Dios",Tabla1[[#This Row],[CARGO]]="Médico Cirujano"),"Sabaneta","Envigado")</f>
        <v>Sabaneta</v>
      </c>
      <c r="V13" s="5" t="str">
        <f>IF(Tabla1[[#This Row],[OCTUBRE]]&gt;=980000,"Cancum",75000)</f>
        <v>Cancum</v>
      </c>
      <c r="W13" s="5" t="str">
        <f>IF(OR(Tabla1[[#This Row],[CIUDAD]]="Medellín",Tabla1[[#This Row],[CARGO]]="Médico Internista"),"Bogotá","Cali")</f>
        <v>Cali</v>
      </c>
      <c r="X13" s="5" t="str">
        <f>IF(OR(Tabla1[[#This Row],[HOSPITAL]]="Manuel Uribe Angel",Tabla1[[#This Row],[CARGO]]="Pediatra"),"Jefe de Cardiología","Sala de Partos")</f>
        <v>Sala de Partos</v>
      </c>
      <c r="Y13" s="5">
        <f>IF(Tabla1[[#This Row],[SALARIO]]&lt;=4100000,100000,50000)</f>
        <v>50000</v>
      </c>
      <c r="Z13" s="5">
        <f>IF(AND(Tabla1[[#This Row],[SEPTIEMBRE]]&gt;=1500000,Tabla1[[#This Row],[TRASLADO]]="H.San Vicente de Paul"),Tabla1[[#This Row],[SEPTIEMBRE]]*30%,Tabla1[[#This Row],[SEPTIEMBRE]]*15%)</f>
        <v>212276.25</v>
      </c>
      <c r="AA13" s="5" t="str">
        <f>IF(OR(Tabla1[[#This Row],[HOSPITAL]]="Gabriel Jaramillo Piedrahita",Tabla1[[#This Row],[PREMIO]]=75000),"Jefe de Internistas","Ginecología")</f>
        <v>Ginecología</v>
      </c>
      <c r="AB13" s="5">
        <f>IF(AND(Tabla1[[#This Row],[TOTAL]]&gt;=60000000,Tabla1[[#This Row],[NEWSEDE]]="Cali"),Tabla1[[#This Row],[TOTAL]]/3,Tabla1[[#This Row],[TOTAL]]/5)</f>
        <v>9506741.3142857142</v>
      </c>
      <c r="AC13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13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14" spans="1:30" x14ac:dyDescent="0.25">
      <c r="A14" s="8">
        <v>15532253</v>
      </c>
      <c r="B14" s="2" t="s">
        <v>31</v>
      </c>
      <c r="C14" s="3" t="s">
        <v>58</v>
      </c>
      <c r="D14" s="4" t="s">
        <v>65</v>
      </c>
      <c r="E14" s="5" t="s">
        <v>69</v>
      </c>
      <c r="F14" s="5">
        <v>11917000</v>
      </c>
      <c r="G14" s="5">
        <f>Tabla1[[#This Row],[SALARIO]]*10%</f>
        <v>1191700</v>
      </c>
      <c r="H14" s="5">
        <f>Tabla1[[#This Row],[ENERO]]*5</f>
        <v>5958500</v>
      </c>
      <c r="I14" s="5">
        <f>Tabla1[[#This Row],[FEBRERO]]*80%</f>
        <v>4766800</v>
      </c>
      <c r="J14" s="5">
        <f>SUM(Tabla1[[#This Row],[ENERO]:[FEBRERO]])</f>
        <v>7150200</v>
      </c>
      <c r="K14" s="5">
        <f>Tabla1[[#This Row],[ABRIL]]/2</f>
        <v>3575100</v>
      </c>
      <c r="L14" s="5">
        <f>Tabla1[[#This Row],[FEBRERO]]/2</f>
        <v>2979250</v>
      </c>
      <c r="M14" s="5">
        <f>Tabla1[[#This Row],[ABRIL]]-Tabla1[[#This Row],[ENERO]]</f>
        <v>5958500</v>
      </c>
      <c r="N14" s="5">
        <f>Tabla1[[#This Row],[ENERO]]*3</f>
        <v>3575100</v>
      </c>
      <c r="O14" s="5">
        <f>Tabla1[[#This Row],[FEBRERO]]/4</f>
        <v>1489625</v>
      </c>
      <c r="P14" s="5">
        <f>AVERAGE(Tabla1[[#This Row],[ENERO]:[JULIO]])</f>
        <v>4511435.7142857146</v>
      </c>
      <c r="Q14" s="5">
        <f>Tabla1[[#This Row],[ABRIL]]*20%+Tabla1[[#This Row],[ABRIL]]</f>
        <v>8580240</v>
      </c>
      <c r="R14" s="5">
        <f>Tabla1[[#This Row],[ENERO]]-Tabla1[[#This Row],[ENERO]]*75%</f>
        <v>297925</v>
      </c>
      <c r="S14" s="9">
        <f>SUM(Tabla1[[#This Row],[ENERO]:[DICIEMBRE]])</f>
        <v>50034375.714285716</v>
      </c>
      <c r="T14" s="5" t="str">
        <f>IF(OR(Tabla1[[#This Row],[TOTAL]]&gt;=20000000,Tabla1[[#This Row],[CARGO]]="Ginecológa"),"H.San Vicente de Paul","H.San Juan de Dios")</f>
        <v>H.San Vicente de Paul</v>
      </c>
      <c r="U14" s="5" t="str">
        <f>IF(OR(Tabla1[[#This Row],[TRASLADO]]="H.San Juan de Dios",Tabla1[[#This Row],[CARGO]]="Médico Cirujano"),"Sabaneta","Envigado")</f>
        <v>Sabaneta</v>
      </c>
      <c r="V14" s="5" t="str">
        <f>IF(Tabla1[[#This Row],[OCTUBRE]]&gt;=980000,"Cancum",75000)</f>
        <v>Cancum</v>
      </c>
      <c r="W14" s="5" t="str">
        <f>IF(OR(Tabla1[[#This Row],[CIUDAD]]="Medellín",Tabla1[[#This Row],[CARGO]]="Médico Internista"),"Bogotá","Cali")</f>
        <v>Cali</v>
      </c>
      <c r="X14" s="5" t="str">
        <f>IF(OR(Tabla1[[#This Row],[HOSPITAL]]="Manuel Uribe Angel",Tabla1[[#This Row],[CARGO]]="Pediatra"),"Jefe de Cardiología","Sala de Partos")</f>
        <v>Sala de Partos</v>
      </c>
      <c r="Y14" s="5">
        <f>IF(Tabla1[[#This Row],[SALARIO]]&lt;=4100000,100000,50000)</f>
        <v>50000</v>
      </c>
      <c r="Z14" s="5">
        <f>IF(AND(Tabla1[[#This Row],[SEPTIEMBRE]]&gt;=1500000,Tabla1[[#This Row],[TRASLADO]]="H.San Vicente de Paul"),Tabla1[[#This Row],[SEPTIEMBRE]]*30%,Tabla1[[#This Row],[SEPTIEMBRE]]*15%)</f>
        <v>223443.75</v>
      </c>
      <c r="AA14" s="5" t="str">
        <f>IF(OR(Tabla1[[#This Row],[HOSPITAL]]="Gabriel Jaramillo Piedrahita",Tabla1[[#This Row],[PREMIO]]=75000),"Jefe de Internistas","Ginecología")</f>
        <v>Ginecología</v>
      </c>
      <c r="AB14" s="5">
        <f>IF(AND(Tabla1[[#This Row],[TOTAL]]&gt;=60000000,Tabla1[[#This Row],[NEWSEDE]]="Cali"),Tabla1[[#This Row],[TOTAL]]/3,Tabla1[[#This Row],[TOTAL]]/5)</f>
        <v>10006875.142857144</v>
      </c>
      <c r="AC14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14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15" spans="1:30" x14ac:dyDescent="0.25">
      <c r="A15" s="8">
        <v>6444347</v>
      </c>
      <c r="B15" s="2" t="s">
        <v>32</v>
      </c>
      <c r="C15" s="3" t="s">
        <v>58</v>
      </c>
      <c r="D15" s="4" t="s">
        <v>65</v>
      </c>
      <c r="E15" s="5" t="s">
        <v>71</v>
      </c>
      <c r="F15" s="5">
        <v>2934200</v>
      </c>
      <c r="G15" s="5">
        <f>Tabla1[[#This Row],[SALARIO]]*10%</f>
        <v>293420</v>
      </c>
      <c r="H15" s="5">
        <f>Tabla1[[#This Row],[ENERO]]*5</f>
        <v>1467100</v>
      </c>
      <c r="I15" s="5">
        <f>Tabla1[[#This Row],[FEBRERO]]*80%</f>
        <v>1173680</v>
      </c>
      <c r="J15" s="5">
        <f>SUM(Tabla1[[#This Row],[ENERO]:[FEBRERO]])</f>
        <v>1760520</v>
      </c>
      <c r="K15" s="5">
        <f>Tabla1[[#This Row],[ABRIL]]/2</f>
        <v>880260</v>
      </c>
      <c r="L15" s="5">
        <f>Tabla1[[#This Row],[FEBRERO]]/2</f>
        <v>733550</v>
      </c>
      <c r="M15" s="5">
        <f>Tabla1[[#This Row],[ABRIL]]-Tabla1[[#This Row],[ENERO]]</f>
        <v>1467100</v>
      </c>
      <c r="N15" s="5">
        <f>Tabla1[[#This Row],[ENERO]]*3</f>
        <v>880260</v>
      </c>
      <c r="O15" s="5">
        <f>Tabla1[[#This Row],[FEBRERO]]/4</f>
        <v>366775</v>
      </c>
      <c r="P15" s="5">
        <f>AVERAGE(Tabla1[[#This Row],[ENERO]:[JULIO]])</f>
        <v>1110804.2857142857</v>
      </c>
      <c r="Q15" s="5">
        <f>Tabla1[[#This Row],[ABRIL]]*20%+Tabla1[[#This Row],[ABRIL]]</f>
        <v>2112624</v>
      </c>
      <c r="R15" s="5">
        <f>Tabla1[[#This Row],[ENERO]]-Tabla1[[#This Row],[ENERO]]*75%</f>
        <v>73355</v>
      </c>
      <c r="S15" s="9">
        <f>SUM(Tabla1[[#This Row],[ENERO]:[DICIEMBRE]])</f>
        <v>12319448.285714285</v>
      </c>
      <c r="T15" s="5" t="str">
        <f>IF(OR(Tabla1[[#This Row],[TOTAL]]&gt;=20000000,Tabla1[[#This Row],[CARGO]]="Ginecológa"),"H.San Vicente de Paul","H.San Juan de Dios")</f>
        <v>H.San Juan de Dios</v>
      </c>
      <c r="U15" s="5" t="str">
        <f>IF(OR(Tabla1[[#This Row],[TRASLADO]]="H.San Juan de Dios",Tabla1[[#This Row],[CARGO]]="Médico Cirujano"),"Sabaneta","Envigado")</f>
        <v>Sabaneta</v>
      </c>
      <c r="V15" s="5" t="str">
        <f>IF(Tabla1[[#This Row],[OCTUBRE]]&gt;=980000,"Cancum",75000)</f>
        <v>Cancum</v>
      </c>
      <c r="W15" s="5" t="str">
        <f>IF(OR(Tabla1[[#This Row],[CIUDAD]]="Medellín",Tabla1[[#This Row],[CARGO]]="Médico Internista"),"Bogotá","Cali")</f>
        <v>Cali</v>
      </c>
      <c r="X15" s="5" t="str">
        <f>IF(OR(Tabla1[[#This Row],[HOSPITAL]]="Manuel Uribe Angel",Tabla1[[#This Row],[CARGO]]="Pediatra"),"Jefe de Cardiología","Sala de Partos")</f>
        <v>Jefe de Cardiología</v>
      </c>
      <c r="Y15" s="5">
        <f>IF(Tabla1[[#This Row],[SALARIO]]&lt;=4100000,100000,50000)</f>
        <v>100000</v>
      </c>
      <c r="Z15" s="5">
        <f>IF(AND(Tabla1[[#This Row],[SEPTIEMBRE]]&gt;=1500000,Tabla1[[#This Row],[TRASLADO]]="H.San Vicente de Paul"),Tabla1[[#This Row],[SEPTIEMBRE]]*30%,Tabla1[[#This Row],[SEPTIEMBRE]]*15%)</f>
        <v>55016.25</v>
      </c>
      <c r="AA15" s="5" t="str">
        <f>IF(OR(Tabla1[[#This Row],[HOSPITAL]]="Gabriel Jaramillo Piedrahita",Tabla1[[#This Row],[PREMIO]]=75000),"Jefe de Internistas","Ginecología")</f>
        <v>Ginecología</v>
      </c>
      <c r="AB15" s="5">
        <f>IF(AND(Tabla1[[#This Row],[TOTAL]]&gt;=60000000,Tabla1[[#This Row],[NEWSEDE]]="Cali"),Tabla1[[#This Row],[TOTAL]]/3,Tabla1[[#This Row],[TOTAL]]/5)</f>
        <v>2463889.6571428571</v>
      </c>
      <c r="AC15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15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16" spans="1:30" x14ac:dyDescent="0.25">
      <c r="A16" s="8">
        <v>13604641</v>
      </c>
      <c r="B16" s="2" t="s">
        <v>33</v>
      </c>
      <c r="C16" s="3" t="s">
        <v>61</v>
      </c>
      <c r="D16" s="4" t="s">
        <v>66</v>
      </c>
      <c r="E16" s="5" t="s">
        <v>69</v>
      </c>
      <c r="F16" s="5">
        <v>10935100</v>
      </c>
      <c r="G16" s="5">
        <f>Tabla1[[#This Row],[SALARIO]]*10%</f>
        <v>1093510</v>
      </c>
      <c r="H16" s="5">
        <f>Tabla1[[#This Row],[ENERO]]*5</f>
        <v>5467550</v>
      </c>
      <c r="I16" s="5">
        <f>Tabla1[[#This Row],[FEBRERO]]*80%</f>
        <v>4374040</v>
      </c>
      <c r="J16" s="5">
        <f>SUM(Tabla1[[#This Row],[ENERO]:[FEBRERO]])</f>
        <v>6561060</v>
      </c>
      <c r="K16" s="5">
        <f>Tabla1[[#This Row],[ABRIL]]/2</f>
        <v>3280530</v>
      </c>
      <c r="L16" s="5">
        <f>Tabla1[[#This Row],[FEBRERO]]/2</f>
        <v>2733775</v>
      </c>
      <c r="M16" s="5">
        <f>Tabla1[[#This Row],[ABRIL]]-Tabla1[[#This Row],[ENERO]]</f>
        <v>5467550</v>
      </c>
      <c r="N16" s="5">
        <f>Tabla1[[#This Row],[ENERO]]*3</f>
        <v>3280530</v>
      </c>
      <c r="O16" s="5">
        <f>Tabla1[[#This Row],[FEBRERO]]/4</f>
        <v>1366887.5</v>
      </c>
      <c r="P16" s="5">
        <f>AVERAGE(Tabla1[[#This Row],[ENERO]:[JULIO]])</f>
        <v>4139716.4285714286</v>
      </c>
      <c r="Q16" s="5">
        <f>Tabla1[[#This Row],[ABRIL]]*20%+Tabla1[[#This Row],[ABRIL]]</f>
        <v>7873272</v>
      </c>
      <c r="R16" s="5">
        <f>Tabla1[[#This Row],[ENERO]]-Tabla1[[#This Row],[ENERO]]*75%</f>
        <v>273377.5</v>
      </c>
      <c r="S16" s="9">
        <f>SUM(Tabla1[[#This Row],[ENERO]:[DICIEMBRE]])</f>
        <v>45911798.428571425</v>
      </c>
      <c r="T16" s="5" t="str">
        <f>IF(OR(Tabla1[[#This Row],[TOTAL]]&gt;=20000000,Tabla1[[#This Row],[CARGO]]="Ginecológa"),"H.San Vicente de Paul","H.San Juan de Dios")</f>
        <v>H.San Vicente de Paul</v>
      </c>
      <c r="U16" s="5" t="str">
        <f>IF(OR(Tabla1[[#This Row],[TRASLADO]]="H.San Juan de Dios",Tabla1[[#This Row],[CARGO]]="Médico Cirujano"),"Sabaneta","Envigado")</f>
        <v>Envigado</v>
      </c>
      <c r="V16" s="5" t="str">
        <f>IF(Tabla1[[#This Row],[OCTUBRE]]&gt;=980000,"Cancum",75000)</f>
        <v>Cancum</v>
      </c>
      <c r="W16" s="5" t="str">
        <f>IF(OR(Tabla1[[#This Row],[CIUDAD]]="Medellín",Tabla1[[#This Row],[CARGO]]="Médico Internista"),"Bogotá","Cali")</f>
        <v>Bogotá</v>
      </c>
      <c r="X16" s="5" t="str">
        <f>IF(OR(Tabla1[[#This Row],[HOSPITAL]]="Manuel Uribe Angel",Tabla1[[#This Row],[CARGO]]="Pediatra"),"Jefe de Cardiología","Sala de Partos")</f>
        <v>Sala de Partos</v>
      </c>
      <c r="Y16" s="5">
        <f>IF(Tabla1[[#This Row],[SALARIO]]&lt;=4100000,100000,50000)</f>
        <v>50000</v>
      </c>
      <c r="Z16" s="5">
        <f>IF(AND(Tabla1[[#This Row],[SEPTIEMBRE]]&gt;=1500000,Tabla1[[#This Row],[TRASLADO]]="H.San Vicente de Paul"),Tabla1[[#This Row],[SEPTIEMBRE]]*30%,Tabla1[[#This Row],[SEPTIEMBRE]]*15%)</f>
        <v>205033.125</v>
      </c>
      <c r="AA16" s="5" t="str">
        <f>IF(OR(Tabla1[[#This Row],[HOSPITAL]]="Gabriel Jaramillo Piedrahita",Tabla1[[#This Row],[PREMIO]]=75000),"Jefe de Internistas","Ginecología")</f>
        <v>Ginecología</v>
      </c>
      <c r="AB16" s="5">
        <f>IF(AND(Tabla1[[#This Row],[TOTAL]]&gt;=60000000,Tabla1[[#This Row],[NEWSEDE]]="Cali"),Tabla1[[#This Row],[TOTAL]]/3,Tabla1[[#This Row],[TOTAL]]/5)</f>
        <v>9182359.6857142858</v>
      </c>
      <c r="AC16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16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Miercoles</v>
      </c>
    </row>
    <row r="17" spans="1:30" x14ac:dyDescent="0.25">
      <c r="A17" s="8">
        <v>12209629</v>
      </c>
      <c r="B17" s="2" t="s">
        <v>34</v>
      </c>
      <c r="C17" s="3" t="s">
        <v>61</v>
      </c>
      <c r="D17" s="4" t="s">
        <v>65</v>
      </c>
      <c r="E17" s="5" t="s">
        <v>69</v>
      </c>
      <c r="F17" s="5">
        <v>8892700</v>
      </c>
      <c r="G17" s="5">
        <f>Tabla1[[#This Row],[SALARIO]]*10%</f>
        <v>889270</v>
      </c>
      <c r="H17" s="5">
        <f>Tabla1[[#This Row],[ENERO]]*5</f>
        <v>4446350</v>
      </c>
      <c r="I17" s="5">
        <f>Tabla1[[#This Row],[FEBRERO]]*80%</f>
        <v>3557080</v>
      </c>
      <c r="J17" s="5">
        <f>SUM(Tabla1[[#This Row],[ENERO]:[FEBRERO]])</f>
        <v>5335620</v>
      </c>
      <c r="K17" s="5">
        <f>Tabla1[[#This Row],[ABRIL]]/2</f>
        <v>2667810</v>
      </c>
      <c r="L17" s="5">
        <f>Tabla1[[#This Row],[FEBRERO]]/2</f>
        <v>2223175</v>
      </c>
      <c r="M17" s="5">
        <f>Tabla1[[#This Row],[ABRIL]]-Tabla1[[#This Row],[ENERO]]</f>
        <v>4446350</v>
      </c>
      <c r="N17" s="5">
        <f>Tabla1[[#This Row],[ENERO]]*3</f>
        <v>2667810</v>
      </c>
      <c r="O17" s="5">
        <f>Tabla1[[#This Row],[FEBRERO]]/4</f>
        <v>1111587.5</v>
      </c>
      <c r="P17" s="5">
        <f>AVERAGE(Tabla1[[#This Row],[ENERO]:[JULIO]])</f>
        <v>3366522.1428571427</v>
      </c>
      <c r="Q17" s="5">
        <f>Tabla1[[#This Row],[ABRIL]]*20%+Tabla1[[#This Row],[ABRIL]]</f>
        <v>6402744</v>
      </c>
      <c r="R17" s="5">
        <f>Tabla1[[#This Row],[ENERO]]-Tabla1[[#This Row],[ENERO]]*75%</f>
        <v>222317.5</v>
      </c>
      <c r="S17" s="9">
        <f>SUM(Tabla1[[#This Row],[ENERO]:[DICIEMBRE]])</f>
        <v>37336636.142857142</v>
      </c>
      <c r="T17" s="5" t="str">
        <f>IF(OR(Tabla1[[#This Row],[TOTAL]]&gt;=20000000,Tabla1[[#This Row],[CARGO]]="Ginecológa"),"H.San Vicente de Paul","H.San Juan de Dios")</f>
        <v>H.San Vicente de Paul</v>
      </c>
      <c r="U17" s="5" t="str">
        <f>IF(OR(Tabla1[[#This Row],[TRASLADO]]="H.San Juan de Dios",Tabla1[[#This Row],[CARGO]]="Médico Cirujano"),"Sabaneta","Envigado")</f>
        <v>Sabaneta</v>
      </c>
      <c r="V17" s="5" t="str">
        <f>IF(Tabla1[[#This Row],[OCTUBRE]]&gt;=980000,"Cancum",75000)</f>
        <v>Cancum</v>
      </c>
      <c r="W17" s="5" t="str">
        <f>IF(OR(Tabla1[[#This Row],[CIUDAD]]="Medellín",Tabla1[[#This Row],[CARGO]]="Médico Internista"),"Bogotá","Cali")</f>
        <v>Cali</v>
      </c>
      <c r="X17" s="5" t="str">
        <f>IF(OR(Tabla1[[#This Row],[HOSPITAL]]="Manuel Uribe Angel",Tabla1[[#This Row],[CARGO]]="Pediatra"),"Jefe de Cardiología","Sala de Partos")</f>
        <v>Sala de Partos</v>
      </c>
      <c r="Y17" s="5">
        <f>IF(Tabla1[[#This Row],[SALARIO]]&lt;=4100000,100000,50000)</f>
        <v>50000</v>
      </c>
      <c r="Z17" s="5">
        <f>IF(AND(Tabla1[[#This Row],[SEPTIEMBRE]]&gt;=1500000,Tabla1[[#This Row],[TRASLADO]]="H.San Vicente de Paul"),Tabla1[[#This Row],[SEPTIEMBRE]]*30%,Tabla1[[#This Row],[SEPTIEMBRE]]*15%)</f>
        <v>166738.125</v>
      </c>
      <c r="AA17" s="5" t="str">
        <f>IF(OR(Tabla1[[#This Row],[HOSPITAL]]="Gabriel Jaramillo Piedrahita",Tabla1[[#This Row],[PREMIO]]=75000),"Jefe de Internistas","Ginecología")</f>
        <v>Ginecología</v>
      </c>
      <c r="AB17" s="5">
        <f>IF(AND(Tabla1[[#This Row],[TOTAL]]&gt;=60000000,Tabla1[[#This Row],[NEWSEDE]]="Cali"),Tabla1[[#This Row],[TOTAL]]/3,Tabla1[[#This Row],[TOTAL]]/5)</f>
        <v>7467327.228571428</v>
      </c>
      <c r="AC17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17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18" spans="1:30" x14ac:dyDescent="0.25">
      <c r="A18" s="8">
        <v>11769723</v>
      </c>
      <c r="B18" s="2" t="s">
        <v>35</v>
      </c>
      <c r="C18" s="3" t="s">
        <v>58</v>
      </c>
      <c r="D18" s="4" t="s">
        <v>66</v>
      </c>
      <c r="E18" s="5" t="s">
        <v>69</v>
      </c>
      <c r="F18" s="5">
        <v>9641800</v>
      </c>
      <c r="G18" s="5">
        <f>Tabla1[[#This Row],[SALARIO]]*10%</f>
        <v>964180</v>
      </c>
      <c r="H18" s="5">
        <f>Tabla1[[#This Row],[ENERO]]*5</f>
        <v>4820900</v>
      </c>
      <c r="I18" s="5">
        <f>Tabla1[[#This Row],[FEBRERO]]*80%</f>
        <v>3856720</v>
      </c>
      <c r="J18" s="5">
        <f>SUM(Tabla1[[#This Row],[ENERO]:[FEBRERO]])</f>
        <v>5785080</v>
      </c>
      <c r="K18" s="5">
        <f>Tabla1[[#This Row],[ABRIL]]/2</f>
        <v>2892540</v>
      </c>
      <c r="L18" s="5">
        <f>Tabla1[[#This Row],[FEBRERO]]/2</f>
        <v>2410450</v>
      </c>
      <c r="M18" s="5">
        <f>Tabla1[[#This Row],[ABRIL]]-Tabla1[[#This Row],[ENERO]]</f>
        <v>4820900</v>
      </c>
      <c r="N18" s="5">
        <f>Tabla1[[#This Row],[ENERO]]*3</f>
        <v>2892540</v>
      </c>
      <c r="O18" s="5">
        <f>Tabla1[[#This Row],[FEBRERO]]/4</f>
        <v>1205225</v>
      </c>
      <c r="P18" s="5">
        <f>AVERAGE(Tabla1[[#This Row],[ENERO]:[JULIO]])</f>
        <v>3650110</v>
      </c>
      <c r="Q18" s="5">
        <f>Tabla1[[#This Row],[ABRIL]]*20%+Tabla1[[#This Row],[ABRIL]]</f>
        <v>6942096</v>
      </c>
      <c r="R18" s="5">
        <f>Tabla1[[#This Row],[ENERO]]-Tabla1[[#This Row],[ENERO]]*75%</f>
        <v>241045</v>
      </c>
      <c r="S18" s="9">
        <f>SUM(Tabla1[[#This Row],[ENERO]:[DICIEMBRE]])</f>
        <v>40481786</v>
      </c>
      <c r="T18" s="5" t="str">
        <f>IF(OR(Tabla1[[#This Row],[TOTAL]]&gt;=20000000,Tabla1[[#This Row],[CARGO]]="Ginecológa"),"H.San Vicente de Paul","H.San Juan de Dios")</f>
        <v>H.San Vicente de Paul</v>
      </c>
      <c r="U18" s="5" t="str">
        <f>IF(OR(Tabla1[[#This Row],[TRASLADO]]="H.San Juan de Dios",Tabla1[[#This Row],[CARGO]]="Médico Cirujano"),"Sabaneta","Envigado")</f>
        <v>Envigado</v>
      </c>
      <c r="V18" s="5" t="str">
        <f>IF(Tabla1[[#This Row],[OCTUBRE]]&gt;=980000,"Cancum",75000)</f>
        <v>Cancum</v>
      </c>
      <c r="W18" s="5" t="str">
        <f>IF(OR(Tabla1[[#This Row],[CIUDAD]]="Medellín",Tabla1[[#This Row],[CARGO]]="Médico Internista"),"Bogotá","Cali")</f>
        <v>Bogotá</v>
      </c>
      <c r="X18" s="5" t="str">
        <f>IF(OR(Tabla1[[#This Row],[HOSPITAL]]="Manuel Uribe Angel",Tabla1[[#This Row],[CARGO]]="Pediatra"),"Jefe de Cardiología","Sala de Partos")</f>
        <v>Sala de Partos</v>
      </c>
      <c r="Y18" s="5">
        <f>IF(Tabla1[[#This Row],[SALARIO]]&lt;=4100000,100000,50000)</f>
        <v>50000</v>
      </c>
      <c r="Z18" s="5">
        <f>IF(AND(Tabla1[[#This Row],[SEPTIEMBRE]]&gt;=1500000,Tabla1[[#This Row],[TRASLADO]]="H.San Vicente de Paul"),Tabla1[[#This Row],[SEPTIEMBRE]]*30%,Tabla1[[#This Row],[SEPTIEMBRE]]*15%)</f>
        <v>180783.75</v>
      </c>
      <c r="AA18" s="5" t="str">
        <f>IF(OR(Tabla1[[#This Row],[HOSPITAL]]="Gabriel Jaramillo Piedrahita",Tabla1[[#This Row],[PREMIO]]=75000),"Jefe de Internistas","Ginecología")</f>
        <v>Ginecología</v>
      </c>
      <c r="AB18" s="5">
        <f>IF(AND(Tabla1[[#This Row],[TOTAL]]&gt;=60000000,Tabla1[[#This Row],[NEWSEDE]]="Cali"),Tabla1[[#This Row],[TOTAL]]/3,Tabla1[[#This Row],[TOTAL]]/5)</f>
        <v>8096357.2000000002</v>
      </c>
      <c r="AC18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18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Miercoles</v>
      </c>
    </row>
    <row r="19" spans="1:30" x14ac:dyDescent="0.25">
      <c r="A19" s="8">
        <v>11548563</v>
      </c>
      <c r="B19" s="2" t="s">
        <v>36</v>
      </c>
      <c r="C19" s="3" t="s">
        <v>58</v>
      </c>
      <c r="D19" s="4" t="s">
        <v>65</v>
      </c>
      <c r="E19" s="5" t="s">
        <v>69</v>
      </c>
      <c r="F19" s="5">
        <v>8527500</v>
      </c>
      <c r="G19" s="5">
        <f>Tabla1[[#This Row],[SALARIO]]*10%</f>
        <v>852750</v>
      </c>
      <c r="H19" s="5">
        <f>Tabla1[[#This Row],[ENERO]]*5</f>
        <v>4263750</v>
      </c>
      <c r="I19" s="5">
        <f>Tabla1[[#This Row],[FEBRERO]]*80%</f>
        <v>3411000</v>
      </c>
      <c r="J19" s="5">
        <f>SUM(Tabla1[[#This Row],[ENERO]:[FEBRERO]])</f>
        <v>5116500</v>
      </c>
      <c r="K19" s="5">
        <f>Tabla1[[#This Row],[ABRIL]]/2</f>
        <v>2558250</v>
      </c>
      <c r="L19" s="5">
        <f>Tabla1[[#This Row],[FEBRERO]]/2</f>
        <v>2131875</v>
      </c>
      <c r="M19" s="5">
        <f>Tabla1[[#This Row],[ABRIL]]-Tabla1[[#This Row],[ENERO]]</f>
        <v>4263750</v>
      </c>
      <c r="N19" s="5">
        <f>Tabla1[[#This Row],[ENERO]]*3</f>
        <v>2558250</v>
      </c>
      <c r="O19" s="5">
        <f>Tabla1[[#This Row],[FEBRERO]]/4</f>
        <v>1065937.5</v>
      </c>
      <c r="P19" s="5">
        <f>AVERAGE(Tabla1[[#This Row],[ENERO]:[JULIO]])</f>
        <v>3228267.8571428573</v>
      </c>
      <c r="Q19" s="5">
        <f>Tabla1[[#This Row],[ABRIL]]*20%+Tabla1[[#This Row],[ABRIL]]</f>
        <v>6139800</v>
      </c>
      <c r="R19" s="5">
        <f>Tabla1[[#This Row],[ENERO]]-Tabla1[[#This Row],[ENERO]]*75%</f>
        <v>213187.5</v>
      </c>
      <c r="S19" s="9">
        <f>SUM(Tabla1[[#This Row],[ENERO]:[DICIEMBRE]])</f>
        <v>35803317.857142858</v>
      </c>
      <c r="T19" s="5" t="str">
        <f>IF(OR(Tabla1[[#This Row],[TOTAL]]&gt;=20000000,Tabla1[[#This Row],[CARGO]]="Ginecológa"),"H.San Vicente de Paul","H.San Juan de Dios")</f>
        <v>H.San Vicente de Paul</v>
      </c>
      <c r="U19" s="5" t="str">
        <f>IF(OR(Tabla1[[#This Row],[TRASLADO]]="H.San Juan de Dios",Tabla1[[#This Row],[CARGO]]="Médico Cirujano"),"Sabaneta","Envigado")</f>
        <v>Sabaneta</v>
      </c>
      <c r="V19" s="5" t="str">
        <f>IF(Tabla1[[#This Row],[OCTUBRE]]&gt;=980000,"Cancum",75000)</f>
        <v>Cancum</v>
      </c>
      <c r="W19" s="5" t="str">
        <f>IF(OR(Tabla1[[#This Row],[CIUDAD]]="Medellín",Tabla1[[#This Row],[CARGO]]="Médico Internista"),"Bogotá","Cali")</f>
        <v>Cali</v>
      </c>
      <c r="X19" s="5" t="str">
        <f>IF(OR(Tabla1[[#This Row],[HOSPITAL]]="Manuel Uribe Angel",Tabla1[[#This Row],[CARGO]]="Pediatra"),"Jefe de Cardiología","Sala de Partos")</f>
        <v>Sala de Partos</v>
      </c>
      <c r="Y19" s="5">
        <f>IF(Tabla1[[#This Row],[SALARIO]]&lt;=4100000,100000,50000)</f>
        <v>50000</v>
      </c>
      <c r="Z19" s="5">
        <f>IF(AND(Tabla1[[#This Row],[SEPTIEMBRE]]&gt;=1500000,Tabla1[[#This Row],[TRASLADO]]="H.San Vicente de Paul"),Tabla1[[#This Row],[SEPTIEMBRE]]*30%,Tabla1[[#This Row],[SEPTIEMBRE]]*15%)</f>
        <v>159890.625</v>
      </c>
      <c r="AA19" s="5" t="str">
        <f>IF(OR(Tabla1[[#This Row],[HOSPITAL]]="Gabriel Jaramillo Piedrahita",Tabla1[[#This Row],[PREMIO]]=75000),"Jefe de Internistas","Ginecología")</f>
        <v>Ginecología</v>
      </c>
      <c r="AB19" s="5">
        <f>IF(AND(Tabla1[[#This Row],[TOTAL]]&gt;=60000000,Tabla1[[#This Row],[NEWSEDE]]="Cali"),Tabla1[[#This Row],[TOTAL]]/3,Tabla1[[#This Row],[TOTAL]]/5)</f>
        <v>7160663.5714285718</v>
      </c>
      <c r="AC19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19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20" spans="1:30" x14ac:dyDescent="0.25">
      <c r="A20" s="8">
        <v>12104121</v>
      </c>
      <c r="B20" s="4" t="s">
        <v>37</v>
      </c>
      <c r="C20" s="3" t="s">
        <v>62</v>
      </c>
      <c r="D20" s="4" t="s">
        <v>64</v>
      </c>
      <c r="E20" s="5" t="s">
        <v>70</v>
      </c>
      <c r="F20" s="5">
        <v>9752900</v>
      </c>
      <c r="G20" s="5">
        <f>Tabla1[[#This Row],[SALARIO]]*10%</f>
        <v>975290</v>
      </c>
      <c r="H20" s="5">
        <f>Tabla1[[#This Row],[ENERO]]*5</f>
        <v>4876450</v>
      </c>
      <c r="I20" s="5">
        <f>Tabla1[[#This Row],[FEBRERO]]*80%</f>
        <v>3901160</v>
      </c>
      <c r="J20" s="5">
        <f>SUM(Tabla1[[#This Row],[ENERO]:[FEBRERO]])</f>
        <v>5851740</v>
      </c>
      <c r="K20" s="5">
        <f>Tabla1[[#This Row],[ABRIL]]/2</f>
        <v>2925870</v>
      </c>
      <c r="L20" s="5">
        <f>Tabla1[[#This Row],[FEBRERO]]/2</f>
        <v>2438225</v>
      </c>
      <c r="M20" s="5">
        <f>Tabla1[[#This Row],[ABRIL]]-Tabla1[[#This Row],[ENERO]]</f>
        <v>4876450</v>
      </c>
      <c r="N20" s="5">
        <f>Tabla1[[#This Row],[ENERO]]*3</f>
        <v>2925870</v>
      </c>
      <c r="O20" s="5">
        <f>Tabla1[[#This Row],[FEBRERO]]/4</f>
        <v>1219112.5</v>
      </c>
      <c r="P20" s="5">
        <f>AVERAGE(Tabla1[[#This Row],[ENERO]:[JULIO]])</f>
        <v>3692169.2857142859</v>
      </c>
      <c r="Q20" s="5">
        <f>Tabla1[[#This Row],[ABRIL]]*20%+Tabla1[[#This Row],[ABRIL]]</f>
        <v>7022088</v>
      </c>
      <c r="R20" s="5">
        <f>Tabla1[[#This Row],[ENERO]]-Tabla1[[#This Row],[ENERO]]*75%</f>
        <v>243822.5</v>
      </c>
      <c r="S20" s="9">
        <f>SUM(Tabla1[[#This Row],[ENERO]:[DICIEMBRE]])</f>
        <v>40948247.285714284</v>
      </c>
      <c r="T20" s="5" t="str">
        <f>IF(OR(Tabla1[[#This Row],[TOTAL]]&gt;=20000000,Tabla1[[#This Row],[CARGO]]="Ginecológa"),"H.San Vicente de Paul","H.San Juan de Dios")</f>
        <v>H.San Vicente de Paul</v>
      </c>
      <c r="U20" s="5" t="str">
        <f>IF(OR(Tabla1[[#This Row],[TRASLADO]]="H.San Juan de Dios",Tabla1[[#This Row],[CARGO]]="Médico Cirujano"),"Sabaneta","Envigado")</f>
        <v>Envigado</v>
      </c>
      <c r="V20" s="5" t="str">
        <f>IF(Tabla1[[#This Row],[OCTUBRE]]&gt;=980000,"Cancum",75000)</f>
        <v>Cancum</v>
      </c>
      <c r="W20" s="5" t="str">
        <f>IF(OR(Tabla1[[#This Row],[CIUDAD]]="Medellín",Tabla1[[#This Row],[CARGO]]="Médico Internista"),"Bogotá","Cali")</f>
        <v>Cali</v>
      </c>
      <c r="X20" s="5" t="str">
        <f>IF(OR(Tabla1[[#This Row],[HOSPITAL]]="Manuel Uribe Angel",Tabla1[[#This Row],[CARGO]]="Pediatra"),"Jefe de Cardiología","Sala de Partos")</f>
        <v>Jefe de Cardiología</v>
      </c>
      <c r="Y20" s="5">
        <f>IF(Tabla1[[#This Row],[SALARIO]]&lt;=4100000,100000,50000)</f>
        <v>50000</v>
      </c>
      <c r="Z20" s="5">
        <f>IF(AND(Tabla1[[#This Row],[SEPTIEMBRE]]&gt;=1500000,Tabla1[[#This Row],[TRASLADO]]="H.San Vicente de Paul"),Tabla1[[#This Row],[SEPTIEMBRE]]*30%,Tabla1[[#This Row],[SEPTIEMBRE]]*15%)</f>
        <v>182866.875</v>
      </c>
      <c r="AA20" s="5" t="str">
        <f>IF(OR(Tabla1[[#This Row],[HOSPITAL]]="Gabriel Jaramillo Piedrahita",Tabla1[[#This Row],[PREMIO]]=75000),"Jefe de Internistas","Ginecología")</f>
        <v>Jefe de Internistas</v>
      </c>
      <c r="AB20" s="5">
        <f>IF(AND(Tabla1[[#This Row],[TOTAL]]&gt;=60000000,Tabla1[[#This Row],[NEWSEDE]]="Cali"),Tabla1[[#This Row],[TOTAL]]/3,Tabla1[[#This Row],[TOTAL]]/5)</f>
        <v>8189649.4571428569</v>
      </c>
      <c r="AC20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20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Jueves</v>
      </c>
    </row>
    <row r="21" spans="1:30" x14ac:dyDescent="0.25">
      <c r="A21" s="8">
        <v>11540503</v>
      </c>
      <c r="B21" s="4" t="s">
        <v>38</v>
      </c>
      <c r="C21" s="3" t="s">
        <v>58</v>
      </c>
      <c r="D21" s="4" t="s">
        <v>65</v>
      </c>
      <c r="E21" s="5" t="s">
        <v>69</v>
      </c>
      <c r="F21" s="5">
        <v>6328200</v>
      </c>
      <c r="G21" s="5">
        <f>Tabla1[[#This Row],[SALARIO]]*10%</f>
        <v>632820</v>
      </c>
      <c r="H21" s="5">
        <f>Tabla1[[#This Row],[ENERO]]*5</f>
        <v>3164100</v>
      </c>
      <c r="I21" s="5">
        <f>Tabla1[[#This Row],[FEBRERO]]*80%</f>
        <v>2531280</v>
      </c>
      <c r="J21" s="5">
        <f>SUM(Tabla1[[#This Row],[ENERO]:[FEBRERO]])</f>
        <v>3796920</v>
      </c>
      <c r="K21" s="5">
        <f>Tabla1[[#This Row],[ABRIL]]/2</f>
        <v>1898460</v>
      </c>
      <c r="L21" s="5">
        <f>Tabla1[[#This Row],[FEBRERO]]/2</f>
        <v>1582050</v>
      </c>
      <c r="M21" s="5">
        <f>Tabla1[[#This Row],[ABRIL]]-Tabla1[[#This Row],[ENERO]]</f>
        <v>3164100</v>
      </c>
      <c r="N21" s="5">
        <f>Tabla1[[#This Row],[ENERO]]*3</f>
        <v>1898460</v>
      </c>
      <c r="O21" s="5">
        <f>Tabla1[[#This Row],[FEBRERO]]/4</f>
        <v>791025</v>
      </c>
      <c r="P21" s="5">
        <f>AVERAGE(Tabla1[[#This Row],[ENERO]:[JULIO]])</f>
        <v>2395675.7142857141</v>
      </c>
      <c r="Q21" s="5">
        <f>Tabla1[[#This Row],[ABRIL]]*20%+Tabla1[[#This Row],[ABRIL]]</f>
        <v>4556304</v>
      </c>
      <c r="R21" s="5">
        <f>Tabla1[[#This Row],[ENERO]]-Tabla1[[#This Row],[ENERO]]*75%</f>
        <v>158205</v>
      </c>
      <c r="S21" s="9">
        <f>SUM(Tabla1[[#This Row],[ENERO]:[DICIEMBRE]])</f>
        <v>26569399.714285713</v>
      </c>
      <c r="T21" s="5" t="str">
        <f>IF(OR(Tabla1[[#This Row],[TOTAL]]&gt;=20000000,Tabla1[[#This Row],[CARGO]]="Ginecológa"),"H.San Vicente de Paul","H.San Juan de Dios")</f>
        <v>H.San Vicente de Paul</v>
      </c>
      <c r="U21" s="5" t="str">
        <f>IF(OR(Tabla1[[#This Row],[TRASLADO]]="H.San Juan de Dios",Tabla1[[#This Row],[CARGO]]="Médico Cirujano"),"Sabaneta","Envigado")</f>
        <v>Sabaneta</v>
      </c>
      <c r="V21" s="5" t="str">
        <f>IF(Tabla1[[#This Row],[OCTUBRE]]&gt;=980000,"Cancum",75000)</f>
        <v>Cancum</v>
      </c>
      <c r="W21" s="5" t="str">
        <f>IF(OR(Tabla1[[#This Row],[CIUDAD]]="Medellín",Tabla1[[#This Row],[CARGO]]="Médico Internista"),"Bogotá","Cali")</f>
        <v>Cali</v>
      </c>
      <c r="X21" s="5" t="str">
        <f>IF(OR(Tabla1[[#This Row],[HOSPITAL]]="Manuel Uribe Angel",Tabla1[[#This Row],[CARGO]]="Pediatra"),"Jefe de Cardiología","Sala de Partos")</f>
        <v>Sala de Partos</v>
      </c>
      <c r="Y21" s="5">
        <f>IF(Tabla1[[#This Row],[SALARIO]]&lt;=4100000,100000,50000)</f>
        <v>50000</v>
      </c>
      <c r="Z21" s="5">
        <f>IF(AND(Tabla1[[#This Row],[SEPTIEMBRE]]&gt;=1500000,Tabla1[[#This Row],[TRASLADO]]="H.San Vicente de Paul"),Tabla1[[#This Row],[SEPTIEMBRE]]*30%,Tabla1[[#This Row],[SEPTIEMBRE]]*15%)</f>
        <v>118653.75</v>
      </c>
      <c r="AA21" s="5" t="str">
        <f>IF(OR(Tabla1[[#This Row],[HOSPITAL]]="Gabriel Jaramillo Piedrahita",Tabla1[[#This Row],[PREMIO]]=75000),"Jefe de Internistas","Ginecología")</f>
        <v>Ginecología</v>
      </c>
      <c r="AB21" s="5">
        <f>IF(AND(Tabla1[[#This Row],[TOTAL]]&gt;=60000000,Tabla1[[#This Row],[NEWSEDE]]="Cali"),Tabla1[[#This Row],[TOTAL]]/3,Tabla1[[#This Row],[TOTAL]]/5)</f>
        <v>5313879.9428571425</v>
      </c>
      <c r="AC21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21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22" spans="1:30" x14ac:dyDescent="0.25">
      <c r="A22" s="8">
        <v>18096063</v>
      </c>
      <c r="B22" s="7" t="s">
        <v>39</v>
      </c>
      <c r="C22" s="3" t="s">
        <v>61</v>
      </c>
      <c r="D22" s="4" t="s">
        <v>67</v>
      </c>
      <c r="E22" s="5" t="s">
        <v>69</v>
      </c>
      <c r="F22" s="5">
        <v>15429300</v>
      </c>
      <c r="G22" s="5">
        <f>Tabla1[[#This Row],[SALARIO]]*10%</f>
        <v>1542930</v>
      </c>
      <c r="H22" s="5">
        <f>Tabla1[[#This Row],[ENERO]]*5</f>
        <v>7714650</v>
      </c>
      <c r="I22" s="5">
        <f>Tabla1[[#This Row],[FEBRERO]]*80%</f>
        <v>6171720</v>
      </c>
      <c r="J22" s="5">
        <f>SUM(Tabla1[[#This Row],[ENERO]:[FEBRERO]])</f>
        <v>9257580</v>
      </c>
      <c r="K22" s="5">
        <f>Tabla1[[#This Row],[ABRIL]]/2</f>
        <v>4628790</v>
      </c>
      <c r="L22" s="5">
        <f>Tabla1[[#This Row],[FEBRERO]]/2</f>
        <v>3857325</v>
      </c>
      <c r="M22" s="5">
        <f>Tabla1[[#This Row],[ABRIL]]-Tabla1[[#This Row],[ENERO]]</f>
        <v>7714650</v>
      </c>
      <c r="N22" s="5">
        <f>Tabla1[[#This Row],[ENERO]]*3</f>
        <v>4628790</v>
      </c>
      <c r="O22" s="5">
        <f>Tabla1[[#This Row],[FEBRERO]]/4</f>
        <v>1928662.5</v>
      </c>
      <c r="P22" s="5">
        <f>AVERAGE(Tabla1[[#This Row],[ENERO]:[JULIO]])</f>
        <v>5841092.1428571427</v>
      </c>
      <c r="Q22" s="5">
        <f>Tabla1[[#This Row],[ABRIL]]*20%+Tabla1[[#This Row],[ABRIL]]</f>
        <v>11109096</v>
      </c>
      <c r="R22" s="5">
        <f>Tabla1[[#This Row],[ENERO]]-Tabla1[[#This Row],[ENERO]]*75%</f>
        <v>385732.5</v>
      </c>
      <c r="S22" s="9">
        <f>SUM(Tabla1[[#This Row],[ENERO]:[DICIEMBRE]])</f>
        <v>64781018.142857142</v>
      </c>
      <c r="T22" s="5" t="str">
        <f>IF(OR(Tabla1[[#This Row],[TOTAL]]&gt;=20000000,Tabla1[[#This Row],[CARGO]]="Ginecológa"),"H.San Vicente de Paul","H.San Juan de Dios")</f>
        <v>H.San Vicente de Paul</v>
      </c>
      <c r="U22" s="5" t="str">
        <f>IF(OR(Tabla1[[#This Row],[TRASLADO]]="H.San Juan de Dios",Tabla1[[#This Row],[CARGO]]="Médico Cirujano"),"Sabaneta","Envigado")</f>
        <v>Envigado</v>
      </c>
      <c r="V22" s="5" t="str">
        <f>IF(Tabla1[[#This Row],[OCTUBRE]]&gt;=980000,"Cancum",75000)</f>
        <v>Cancum</v>
      </c>
      <c r="W22" s="5" t="str">
        <f>IF(OR(Tabla1[[#This Row],[CIUDAD]]="Medellín",Tabla1[[#This Row],[CARGO]]="Médico Internista"),"Bogotá","Cali")</f>
        <v>Cali</v>
      </c>
      <c r="X22" s="5" t="str">
        <f>IF(OR(Tabla1[[#This Row],[HOSPITAL]]="Manuel Uribe Angel",Tabla1[[#This Row],[CARGO]]="Pediatra"),"Jefe de Cardiología","Sala de Partos")</f>
        <v>Sala de Partos</v>
      </c>
      <c r="Y22" s="5">
        <f>IF(Tabla1[[#This Row],[SALARIO]]&lt;=4100000,100000,50000)</f>
        <v>50000</v>
      </c>
      <c r="Z22" s="5">
        <f>IF(AND(Tabla1[[#This Row],[SEPTIEMBRE]]&gt;=1500000,Tabla1[[#This Row],[TRASLADO]]="H.San Vicente de Paul"),Tabla1[[#This Row],[SEPTIEMBRE]]*30%,Tabla1[[#This Row],[SEPTIEMBRE]]*15%)</f>
        <v>578598.75</v>
      </c>
      <c r="AA22" s="5" t="str">
        <f>IF(OR(Tabla1[[#This Row],[HOSPITAL]]="Gabriel Jaramillo Piedrahita",Tabla1[[#This Row],[PREMIO]]=75000),"Jefe de Internistas","Ginecología")</f>
        <v>Ginecología</v>
      </c>
      <c r="AB22" s="5">
        <f>IF(AND(Tabla1[[#This Row],[TOTAL]]&gt;=60000000,Tabla1[[#This Row],[NEWSEDE]]="Cali"),Tabla1[[#This Row],[TOTAL]]/3,Tabla1[[#This Row],[TOTAL]]/5)</f>
        <v>21593672.714285713</v>
      </c>
      <c r="AC22" s="5" t="str">
        <f>IF(AND(Tabla1[[#This Row],[HOSPITAL]]="San Vicente de Paul",Tabla1[[#This Row],[CARGO]]="Médico Cirujano"),"Negro",IF(AND(Tabla1[[#This Row],[HOSPITAL]]="San Juan de Dios",Tabla1[[#This Row],[CARGO]]="Ginecóloga"),"Azul","Gris"))</f>
        <v>Azul</v>
      </c>
      <c r="AD22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Lunes</v>
      </c>
    </row>
    <row r="23" spans="1:30" x14ac:dyDescent="0.25">
      <c r="A23" s="8">
        <v>12732949</v>
      </c>
      <c r="B23" s="2" t="s">
        <v>40</v>
      </c>
      <c r="C23" s="3" t="s">
        <v>58</v>
      </c>
      <c r="D23" s="4" t="s">
        <v>67</v>
      </c>
      <c r="E23" s="5" t="s">
        <v>69</v>
      </c>
      <c r="F23" s="5">
        <v>10086300</v>
      </c>
      <c r="G23" s="5">
        <f>Tabla1[[#This Row],[SALARIO]]*10%</f>
        <v>1008630</v>
      </c>
      <c r="H23" s="5">
        <f>Tabla1[[#This Row],[ENERO]]*5</f>
        <v>5043150</v>
      </c>
      <c r="I23" s="5">
        <f>Tabla1[[#This Row],[FEBRERO]]*80%</f>
        <v>4034520</v>
      </c>
      <c r="J23" s="5">
        <f>SUM(Tabla1[[#This Row],[ENERO]:[FEBRERO]])</f>
        <v>6051780</v>
      </c>
      <c r="K23" s="5">
        <f>Tabla1[[#This Row],[ABRIL]]/2</f>
        <v>3025890</v>
      </c>
      <c r="L23" s="5">
        <f>Tabla1[[#This Row],[FEBRERO]]/2</f>
        <v>2521575</v>
      </c>
      <c r="M23" s="5">
        <f>Tabla1[[#This Row],[ABRIL]]-Tabla1[[#This Row],[ENERO]]</f>
        <v>5043150</v>
      </c>
      <c r="N23" s="5">
        <f>Tabla1[[#This Row],[ENERO]]*3</f>
        <v>3025890</v>
      </c>
      <c r="O23" s="5">
        <f>Tabla1[[#This Row],[FEBRERO]]/4</f>
        <v>1260787.5</v>
      </c>
      <c r="P23" s="5">
        <f>AVERAGE(Tabla1[[#This Row],[ENERO]:[JULIO]])</f>
        <v>3818385</v>
      </c>
      <c r="Q23" s="5">
        <f>Tabla1[[#This Row],[ABRIL]]*20%+Tabla1[[#This Row],[ABRIL]]</f>
        <v>7262136</v>
      </c>
      <c r="R23" s="5">
        <f>Tabla1[[#This Row],[ENERO]]-Tabla1[[#This Row],[ENERO]]*75%</f>
        <v>252157.5</v>
      </c>
      <c r="S23" s="9">
        <f>SUM(Tabla1[[#This Row],[ENERO]:[DICIEMBRE]])</f>
        <v>42348051</v>
      </c>
      <c r="T23" s="5" t="str">
        <f>IF(OR(Tabla1[[#This Row],[TOTAL]]&gt;=20000000,Tabla1[[#This Row],[CARGO]]="Ginecológa"),"H.San Vicente de Paul","H.San Juan de Dios")</f>
        <v>H.San Vicente de Paul</v>
      </c>
      <c r="U23" s="5" t="str">
        <f>IF(OR(Tabla1[[#This Row],[TRASLADO]]="H.San Juan de Dios",Tabla1[[#This Row],[CARGO]]="Médico Cirujano"),"Sabaneta","Envigado")</f>
        <v>Envigado</v>
      </c>
      <c r="V23" s="5" t="str">
        <f>IF(Tabla1[[#This Row],[OCTUBRE]]&gt;=980000,"Cancum",75000)</f>
        <v>Cancum</v>
      </c>
      <c r="W23" s="5" t="str">
        <f>IF(OR(Tabla1[[#This Row],[CIUDAD]]="Medellín",Tabla1[[#This Row],[CARGO]]="Médico Internista"),"Bogotá","Cali")</f>
        <v>Cali</v>
      </c>
      <c r="X23" s="5" t="str">
        <f>IF(OR(Tabla1[[#This Row],[HOSPITAL]]="Manuel Uribe Angel",Tabla1[[#This Row],[CARGO]]="Pediatra"),"Jefe de Cardiología","Sala de Partos")</f>
        <v>Sala de Partos</v>
      </c>
      <c r="Y23" s="5">
        <f>IF(Tabla1[[#This Row],[SALARIO]]&lt;=4100000,100000,50000)</f>
        <v>50000</v>
      </c>
      <c r="Z23" s="5">
        <f>IF(AND(Tabla1[[#This Row],[SEPTIEMBRE]]&gt;=1500000,Tabla1[[#This Row],[TRASLADO]]="H.San Vicente de Paul"),Tabla1[[#This Row],[SEPTIEMBRE]]*30%,Tabla1[[#This Row],[SEPTIEMBRE]]*15%)</f>
        <v>189118.125</v>
      </c>
      <c r="AA23" s="5" t="str">
        <f>IF(OR(Tabla1[[#This Row],[HOSPITAL]]="Gabriel Jaramillo Piedrahita",Tabla1[[#This Row],[PREMIO]]=75000),"Jefe de Internistas","Ginecología")</f>
        <v>Ginecología</v>
      </c>
      <c r="AB23" s="5">
        <f>IF(AND(Tabla1[[#This Row],[TOTAL]]&gt;=60000000,Tabla1[[#This Row],[NEWSEDE]]="Cali"),Tabla1[[#This Row],[TOTAL]]/3,Tabla1[[#This Row],[TOTAL]]/5)</f>
        <v>8469610.1999999993</v>
      </c>
      <c r="AC23" s="5" t="str">
        <f>IF(AND(Tabla1[[#This Row],[HOSPITAL]]="San Vicente de Paul",Tabla1[[#This Row],[CARGO]]="Médico Cirujano"),"Negro",IF(AND(Tabla1[[#This Row],[HOSPITAL]]="San Juan de Dios",Tabla1[[#This Row],[CARGO]]="Ginecóloga"),"Azul","Gris"))</f>
        <v>Azul</v>
      </c>
      <c r="AD23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Lunes</v>
      </c>
    </row>
    <row r="24" spans="1:30" x14ac:dyDescent="0.25">
      <c r="A24" s="8">
        <v>9624025</v>
      </c>
      <c r="B24" s="2" t="s">
        <v>41</v>
      </c>
      <c r="C24" s="3" t="s">
        <v>60</v>
      </c>
      <c r="D24" s="4" t="s">
        <v>65</v>
      </c>
      <c r="E24" s="5" t="s">
        <v>71</v>
      </c>
      <c r="F24" s="5">
        <v>7300000</v>
      </c>
      <c r="G24" s="5">
        <f>Tabla1[[#This Row],[SALARIO]]*10%</f>
        <v>730000</v>
      </c>
      <c r="H24" s="5">
        <f>Tabla1[[#This Row],[ENERO]]*5</f>
        <v>3650000</v>
      </c>
      <c r="I24" s="5">
        <f>Tabla1[[#This Row],[FEBRERO]]*80%</f>
        <v>2920000</v>
      </c>
      <c r="J24" s="5">
        <f>SUM(Tabla1[[#This Row],[ENERO]:[FEBRERO]])</f>
        <v>4380000</v>
      </c>
      <c r="K24" s="5">
        <f>Tabla1[[#This Row],[ABRIL]]/2</f>
        <v>2190000</v>
      </c>
      <c r="L24" s="5">
        <f>Tabla1[[#This Row],[FEBRERO]]/2</f>
        <v>1825000</v>
      </c>
      <c r="M24" s="5">
        <f>Tabla1[[#This Row],[ABRIL]]-Tabla1[[#This Row],[ENERO]]</f>
        <v>3650000</v>
      </c>
      <c r="N24" s="5">
        <f>Tabla1[[#This Row],[ENERO]]*3</f>
        <v>2190000</v>
      </c>
      <c r="O24" s="5">
        <f>Tabla1[[#This Row],[FEBRERO]]/4</f>
        <v>912500</v>
      </c>
      <c r="P24" s="5">
        <f>AVERAGE(Tabla1[[#This Row],[ENERO]:[JULIO]])</f>
        <v>2763571.4285714286</v>
      </c>
      <c r="Q24" s="5">
        <f>Tabla1[[#This Row],[ABRIL]]*20%+Tabla1[[#This Row],[ABRIL]]</f>
        <v>5256000</v>
      </c>
      <c r="R24" s="5">
        <f>Tabla1[[#This Row],[ENERO]]-Tabla1[[#This Row],[ENERO]]*75%</f>
        <v>182500</v>
      </c>
      <c r="S24" s="9">
        <f>SUM(Tabla1[[#This Row],[ENERO]:[DICIEMBRE]])</f>
        <v>30649571.428571429</v>
      </c>
      <c r="T24" s="5" t="str">
        <f>IF(OR(Tabla1[[#This Row],[TOTAL]]&gt;=20000000,Tabla1[[#This Row],[CARGO]]="Ginecológa"),"H.San Vicente de Paul","H.San Juan de Dios")</f>
        <v>H.San Vicente de Paul</v>
      </c>
      <c r="U24" s="5" t="str">
        <f>IF(OR(Tabla1[[#This Row],[TRASLADO]]="H.San Juan de Dios",Tabla1[[#This Row],[CARGO]]="Médico Cirujano"),"Sabaneta","Envigado")</f>
        <v>Sabaneta</v>
      </c>
      <c r="V24" s="5" t="str">
        <f>IF(Tabla1[[#This Row],[OCTUBRE]]&gt;=980000,"Cancum",75000)</f>
        <v>Cancum</v>
      </c>
      <c r="W24" s="5" t="str">
        <f>IF(OR(Tabla1[[#This Row],[CIUDAD]]="Medellín",Tabla1[[#This Row],[CARGO]]="Médico Internista"),"Bogotá","Cali")</f>
        <v>Cali</v>
      </c>
      <c r="X24" s="5" t="str">
        <f>IF(OR(Tabla1[[#This Row],[HOSPITAL]]="Manuel Uribe Angel",Tabla1[[#This Row],[CARGO]]="Pediatra"),"Jefe de Cardiología","Sala de Partos")</f>
        <v>Jefe de Cardiología</v>
      </c>
      <c r="Y24" s="5">
        <f>IF(Tabla1[[#This Row],[SALARIO]]&lt;=4100000,100000,50000)</f>
        <v>50000</v>
      </c>
      <c r="Z24" s="5">
        <f>IF(AND(Tabla1[[#This Row],[SEPTIEMBRE]]&gt;=1500000,Tabla1[[#This Row],[TRASLADO]]="H.San Vicente de Paul"),Tabla1[[#This Row],[SEPTIEMBRE]]*30%,Tabla1[[#This Row],[SEPTIEMBRE]]*15%)</f>
        <v>136875</v>
      </c>
      <c r="AA24" s="5" t="str">
        <f>IF(OR(Tabla1[[#This Row],[HOSPITAL]]="Gabriel Jaramillo Piedrahita",Tabla1[[#This Row],[PREMIO]]=75000),"Jefe de Internistas","Ginecología")</f>
        <v>Ginecología</v>
      </c>
      <c r="AB24" s="5">
        <f>IF(AND(Tabla1[[#This Row],[TOTAL]]&gt;=60000000,Tabla1[[#This Row],[NEWSEDE]]="Cali"),Tabla1[[#This Row],[TOTAL]]/3,Tabla1[[#This Row],[TOTAL]]/5)</f>
        <v>6129914.2857142854</v>
      </c>
      <c r="AC24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24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25" spans="1:30" x14ac:dyDescent="0.25">
      <c r="A25" s="8">
        <v>12794713</v>
      </c>
      <c r="B25" s="2" t="s">
        <v>42</v>
      </c>
      <c r="C25" s="3" t="s">
        <v>61</v>
      </c>
      <c r="D25" s="4" t="s">
        <v>65</v>
      </c>
      <c r="E25" s="5" t="s">
        <v>70</v>
      </c>
      <c r="F25" s="5">
        <v>10473800</v>
      </c>
      <c r="G25" s="5">
        <f>Tabla1[[#This Row],[SALARIO]]*10%</f>
        <v>1047380</v>
      </c>
      <c r="H25" s="5">
        <f>Tabla1[[#This Row],[ENERO]]*5</f>
        <v>5236900</v>
      </c>
      <c r="I25" s="5">
        <f>Tabla1[[#This Row],[FEBRERO]]*80%</f>
        <v>4189520</v>
      </c>
      <c r="J25" s="5">
        <f>SUM(Tabla1[[#This Row],[ENERO]:[FEBRERO]])</f>
        <v>6284280</v>
      </c>
      <c r="K25" s="5">
        <f>Tabla1[[#This Row],[ABRIL]]/2</f>
        <v>3142140</v>
      </c>
      <c r="L25" s="5">
        <f>Tabla1[[#This Row],[FEBRERO]]/2</f>
        <v>2618450</v>
      </c>
      <c r="M25" s="5">
        <f>Tabla1[[#This Row],[ABRIL]]-Tabla1[[#This Row],[ENERO]]</f>
        <v>5236900</v>
      </c>
      <c r="N25" s="5">
        <f>Tabla1[[#This Row],[ENERO]]*3</f>
        <v>3142140</v>
      </c>
      <c r="O25" s="5">
        <f>Tabla1[[#This Row],[FEBRERO]]/4</f>
        <v>1309225</v>
      </c>
      <c r="P25" s="5">
        <f>AVERAGE(Tabla1[[#This Row],[ENERO]:[JULIO]])</f>
        <v>3965081.4285714286</v>
      </c>
      <c r="Q25" s="5">
        <f>Tabla1[[#This Row],[ABRIL]]*20%+Tabla1[[#This Row],[ABRIL]]</f>
        <v>7541136</v>
      </c>
      <c r="R25" s="5">
        <f>Tabla1[[#This Row],[ENERO]]-Tabla1[[#This Row],[ENERO]]*75%</f>
        <v>261845</v>
      </c>
      <c r="S25" s="9">
        <f>SUM(Tabla1[[#This Row],[ENERO]:[DICIEMBRE]])</f>
        <v>43974997.428571425</v>
      </c>
      <c r="T25" s="5" t="str">
        <f>IF(OR(Tabla1[[#This Row],[TOTAL]]&gt;=20000000,Tabla1[[#This Row],[CARGO]]="Ginecológa"),"H.San Vicente de Paul","H.San Juan de Dios")</f>
        <v>H.San Vicente de Paul</v>
      </c>
      <c r="U25" s="5" t="str">
        <f>IF(OR(Tabla1[[#This Row],[TRASLADO]]="H.San Juan de Dios",Tabla1[[#This Row],[CARGO]]="Médico Cirujano"),"Sabaneta","Envigado")</f>
        <v>Sabaneta</v>
      </c>
      <c r="V25" s="5" t="str">
        <f>IF(Tabla1[[#This Row],[OCTUBRE]]&gt;=980000,"Cancum",75000)</f>
        <v>Cancum</v>
      </c>
      <c r="W25" s="5" t="str">
        <f>IF(OR(Tabla1[[#This Row],[CIUDAD]]="Medellín",Tabla1[[#This Row],[CARGO]]="Médico Internista"),"Bogotá","Cali")</f>
        <v>Cali</v>
      </c>
      <c r="X25" s="5" t="str">
        <f>IF(OR(Tabla1[[#This Row],[HOSPITAL]]="Manuel Uribe Angel",Tabla1[[#This Row],[CARGO]]="Pediatra"),"Jefe de Cardiología","Sala de Partos")</f>
        <v>Sala de Partos</v>
      </c>
      <c r="Y25" s="5">
        <f>IF(Tabla1[[#This Row],[SALARIO]]&lt;=4100000,100000,50000)</f>
        <v>50000</v>
      </c>
      <c r="Z25" s="5">
        <f>IF(AND(Tabla1[[#This Row],[SEPTIEMBRE]]&gt;=1500000,Tabla1[[#This Row],[TRASLADO]]="H.San Vicente de Paul"),Tabla1[[#This Row],[SEPTIEMBRE]]*30%,Tabla1[[#This Row],[SEPTIEMBRE]]*15%)</f>
        <v>196383.75</v>
      </c>
      <c r="AA25" s="5" t="str">
        <f>IF(OR(Tabla1[[#This Row],[HOSPITAL]]="Gabriel Jaramillo Piedrahita",Tabla1[[#This Row],[PREMIO]]=75000),"Jefe de Internistas","Ginecología")</f>
        <v>Jefe de Internistas</v>
      </c>
      <c r="AB25" s="5">
        <f>IF(AND(Tabla1[[#This Row],[TOTAL]]&gt;=60000000,Tabla1[[#This Row],[NEWSEDE]]="Cali"),Tabla1[[#This Row],[TOTAL]]/3,Tabla1[[#This Row],[TOTAL]]/5)</f>
        <v>8794999.4857142847</v>
      </c>
      <c r="AC25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25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26" spans="1:30" x14ac:dyDescent="0.25">
      <c r="A26" s="8">
        <v>13295533</v>
      </c>
      <c r="B26" s="2" t="s">
        <v>43</v>
      </c>
      <c r="C26" s="3" t="s">
        <v>58</v>
      </c>
      <c r="D26" s="4" t="s">
        <v>65</v>
      </c>
      <c r="E26" s="5" t="s">
        <v>69</v>
      </c>
      <c r="F26" s="5">
        <v>10977800</v>
      </c>
      <c r="G26" s="5">
        <f>Tabla1[[#This Row],[SALARIO]]*10%</f>
        <v>1097780</v>
      </c>
      <c r="H26" s="5">
        <f>Tabla1[[#This Row],[ENERO]]*5</f>
        <v>5488900</v>
      </c>
      <c r="I26" s="5">
        <f>Tabla1[[#This Row],[FEBRERO]]*80%</f>
        <v>4391120</v>
      </c>
      <c r="J26" s="5">
        <f>SUM(Tabla1[[#This Row],[ENERO]:[FEBRERO]])</f>
        <v>6586680</v>
      </c>
      <c r="K26" s="5">
        <f>Tabla1[[#This Row],[ABRIL]]/2</f>
        <v>3293340</v>
      </c>
      <c r="L26" s="5">
        <f>Tabla1[[#This Row],[FEBRERO]]/2</f>
        <v>2744450</v>
      </c>
      <c r="M26" s="5">
        <f>Tabla1[[#This Row],[ABRIL]]-Tabla1[[#This Row],[ENERO]]</f>
        <v>5488900</v>
      </c>
      <c r="N26" s="5">
        <f>Tabla1[[#This Row],[ENERO]]*3</f>
        <v>3293340</v>
      </c>
      <c r="O26" s="5">
        <f>Tabla1[[#This Row],[FEBRERO]]/4</f>
        <v>1372225</v>
      </c>
      <c r="P26" s="5">
        <f>AVERAGE(Tabla1[[#This Row],[ENERO]:[JULIO]])</f>
        <v>4155881.4285714286</v>
      </c>
      <c r="Q26" s="5">
        <f>Tabla1[[#This Row],[ABRIL]]*20%+Tabla1[[#This Row],[ABRIL]]</f>
        <v>7904016</v>
      </c>
      <c r="R26" s="5">
        <f>Tabla1[[#This Row],[ENERO]]-Tabla1[[#This Row],[ENERO]]*75%</f>
        <v>274445</v>
      </c>
      <c r="S26" s="9">
        <f>SUM(Tabla1[[#This Row],[ENERO]:[DICIEMBRE]])</f>
        <v>46091077.428571425</v>
      </c>
      <c r="T26" s="5" t="str">
        <f>IF(OR(Tabla1[[#This Row],[TOTAL]]&gt;=20000000,Tabla1[[#This Row],[CARGO]]="Ginecológa"),"H.San Vicente de Paul","H.San Juan de Dios")</f>
        <v>H.San Vicente de Paul</v>
      </c>
      <c r="U26" s="5" t="str">
        <f>IF(OR(Tabla1[[#This Row],[TRASLADO]]="H.San Juan de Dios",Tabla1[[#This Row],[CARGO]]="Médico Cirujano"),"Sabaneta","Envigado")</f>
        <v>Sabaneta</v>
      </c>
      <c r="V26" s="5" t="str">
        <f>IF(Tabla1[[#This Row],[OCTUBRE]]&gt;=980000,"Cancum",75000)</f>
        <v>Cancum</v>
      </c>
      <c r="W26" s="5" t="str">
        <f>IF(OR(Tabla1[[#This Row],[CIUDAD]]="Medellín",Tabla1[[#This Row],[CARGO]]="Médico Internista"),"Bogotá","Cali")</f>
        <v>Cali</v>
      </c>
      <c r="X26" s="5" t="str">
        <f>IF(OR(Tabla1[[#This Row],[HOSPITAL]]="Manuel Uribe Angel",Tabla1[[#This Row],[CARGO]]="Pediatra"),"Jefe de Cardiología","Sala de Partos")</f>
        <v>Sala de Partos</v>
      </c>
      <c r="Y26" s="5">
        <f>IF(Tabla1[[#This Row],[SALARIO]]&lt;=4100000,100000,50000)</f>
        <v>50000</v>
      </c>
      <c r="Z26" s="5">
        <f>IF(AND(Tabla1[[#This Row],[SEPTIEMBRE]]&gt;=1500000,Tabla1[[#This Row],[TRASLADO]]="H.San Vicente de Paul"),Tabla1[[#This Row],[SEPTIEMBRE]]*30%,Tabla1[[#This Row],[SEPTIEMBRE]]*15%)</f>
        <v>205833.75</v>
      </c>
      <c r="AA26" s="5" t="str">
        <f>IF(OR(Tabla1[[#This Row],[HOSPITAL]]="Gabriel Jaramillo Piedrahita",Tabla1[[#This Row],[PREMIO]]=75000),"Jefe de Internistas","Ginecología")</f>
        <v>Ginecología</v>
      </c>
      <c r="AB26" s="5">
        <f>IF(AND(Tabla1[[#This Row],[TOTAL]]&gt;=60000000,Tabla1[[#This Row],[NEWSEDE]]="Cali"),Tabla1[[#This Row],[TOTAL]]/3,Tabla1[[#This Row],[TOTAL]]/5)</f>
        <v>9218215.4857142847</v>
      </c>
      <c r="AC26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26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27" spans="1:30" x14ac:dyDescent="0.25">
      <c r="A27" s="8">
        <v>20609859</v>
      </c>
      <c r="B27" s="2" t="s">
        <v>44</v>
      </c>
      <c r="C27" s="3" t="s">
        <v>60</v>
      </c>
      <c r="D27" s="4" t="s">
        <v>64</v>
      </c>
      <c r="E27" s="5" t="s">
        <v>69</v>
      </c>
      <c r="F27" s="5">
        <v>16898100</v>
      </c>
      <c r="G27" s="5">
        <f>Tabla1[[#This Row],[SALARIO]]*10%</f>
        <v>1689810</v>
      </c>
      <c r="H27" s="5">
        <f>Tabla1[[#This Row],[ENERO]]*5</f>
        <v>8449050</v>
      </c>
      <c r="I27" s="5">
        <f>Tabla1[[#This Row],[FEBRERO]]*80%</f>
        <v>6759240</v>
      </c>
      <c r="J27" s="5">
        <f>SUM(Tabla1[[#This Row],[ENERO]:[FEBRERO]])</f>
        <v>10138860</v>
      </c>
      <c r="K27" s="5">
        <f>Tabla1[[#This Row],[ABRIL]]/2</f>
        <v>5069430</v>
      </c>
      <c r="L27" s="5">
        <f>Tabla1[[#This Row],[FEBRERO]]/2</f>
        <v>4224525</v>
      </c>
      <c r="M27" s="5">
        <f>Tabla1[[#This Row],[ABRIL]]-Tabla1[[#This Row],[ENERO]]</f>
        <v>8449050</v>
      </c>
      <c r="N27" s="5">
        <f>Tabla1[[#This Row],[ENERO]]*3</f>
        <v>5069430</v>
      </c>
      <c r="O27" s="5">
        <f>Tabla1[[#This Row],[FEBRERO]]/4</f>
        <v>2112262.5</v>
      </c>
      <c r="P27" s="5">
        <f>AVERAGE(Tabla1[[#This Row],[ENERO]:[JULIO]])</f>
        <v>6397137.8571428573</v>
      </c>
      <c r="Q27" s="5">
        <f>Tabla1[[#This Row],[ABRIL]]*20%+Tabla1[[#This Row],[ABRIL]]</f>
        <v>12166632</v>
      </c>
      <c r="R27" s="5">
        <f>Tabla1[[#This Row],[ENERO]]-Tabla1[[#This Row],[ENERO]]*75%</f>
        <v>422452.5</v>
      </c>
      <c r="S27" s="9">
        <f>SUM(Tabla1[[#This Row],[ENERO]:[DICIEMBRE]])</f>
        <v>70947879.857142866</v>
      </c>
      <c r="T27" s="5" t="str">
        <f>IF(OR(Tabla1[[#This Row],[TOTAL]]&gt;=20000000,Tabla1[[#This Row],[CARGO]]="Ginecológa"),"H.San Vicente de Paul","H.San Juan de Dios")</f>
        <v>H.San Vicente de Paul</v>
      </c>
      <c r="U27" s="5" t="str">
        <f>IF(OR(Tabla1[[#This Row],[TRASLADO]]="H.San Juan de Dios",Tabla1[[#This Row],[CARGO]]="Médico Cirujano"),"Sabaneta","Envigado")</f>
        <v>Envigado</v>
      </c>
      <c r="V27" s="5" t="str">
        <f>IF(Tabla1[[#This Row],[OCTUBRE]]&gt;=980000,"Cancum",75000)</f>
        <v>Cancum</v>
      </c>
      <c r="W27" s="5" t="str">
        <f>IF(OR(Tabla1[[#This Row],[CIUDAD]]="Medellín",Tabla1[[#This Row],[CARGO]]="Médico Internista"),"Bogotá","Cali")</f>
        <v>Cali</v>
      </c>
      <c r="X27" s="5" t="str">
        <f>IF(OR(Tabla1[[#This Row],[HOSPITAL]]="Manuel Uribe Angel",Tabla1[[#This Row],[CARGO]]="Pediatra"),"Jefe de Cardiología","Sala de Partos")</f>
        <v>Jefe de Cardiología</v>
      </c>
      <c r="Y27" s="5">
        <f>IF(Tabla1[[#This Row],[SALARIO]]&lt;=4100000,100000,50000)</f>
        <v>50000</v>
      </c>
      <c r="Z27" s="5">
        <f>IF(AND(Tabla1[[#This Row],[SEPTIEMBRE]]&gt;=1500000,Tabla1[[#This Row],[TRASLADO]]="H.San Vicente de Paul"),Tabla1[[#This Row],[SEPTIEMBRE]]*30%,Tabla1[[#This Row],[SEPTIEMBRE]]*15%)</f>
        <v>633678.75</v>
      </c>
      <c r="AA27" s="5" t="str">
        <f>IF(OR(Tabla1[[#This Row],[HOSPITAL]]="Gabriel Jaramillo Piedrahita",Tabla1[[#This Row],[PREMIO]]=75000),"Jefe de Internistas","Ginecología")</f>
        <v>Ginecología</v>
      </c>
      <c r="AB27" s="5">
        <f>IF(AND(Tabla1[[#This Row],[TOTAL]]&gt;=60000000,Tabla1[[#This Row],[NEWSEDE]]="Cali"),Tabla1[[#This Row],[TOTAL]]/3,Tabla1[[#This Row],[TOTAL]]/5)</f>
        <v>23649293.285714287</v>
      </c>
      <c r="AC27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27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Jueves</v>
      </c>
    </row>
    <row r="28" spans="1:30" x14ac:dyDescent="0.25">
      <c r="A28" s="8">
        <v>7390657</v>
      </c>
      <c r="B28" s="2" t="s">
        <v>45</v>
      </c>
      <c r="C28" s="3" t="s">
        <v>62</v>
      </c>
      <c r="D28" s="4" t="s">
        <v>65</v>
      </c>
      <c r="E28" s="5" t="s">
        <v>69</v>
      </c>
      <c r="F28" s="5">
        <v>4760500</v>
      </c>
      <c r="G28" s="5">
        <f>Tabla1[[#This Row],[SALARIO]]*10%</f>
        <v>476050</v>
      </c>
      <c r="H28" s="5">
        <f>Tabla1[[#This Row],[ENERO]]*5</f>
        <v>2380250</v>
      </c>
      <c r="I28" s="5">
        <f>Tabla1[[#This Row],[FEBRERO]]*80%</f>
        <v>1904200</v>
      </c>
      <c r="J28" s="5">
        <f>SUM(Tabla1[[#This Row],[ENERO]:[FEBRERO]])</f>
        <v>2856300</v>
      </c>
      <c r="K28" s="5">
        <f>Tabla1[[#This Row],[ABRIL]]/2</f>
        <v>1428150</v>
      </c>
      <c r="L28" s="5">
        <f>Tabla1[[#This Row],[FEBRERO]]/2</f>
        <v>1190125</v>
      </c>
      <c r="M28" s="5">
        <f>Tabla1[[#This Row],[ABRIL]]-Tabla1[[#This Row],[ENERO]]</f>
        <v>2380250</v>
      </c>
      <c r="N28" s="5">
        <f>Tabla1[[#This Row],[ENERO]]*3</f>
        <v>1428150</v>
      </c>
      <c r="O28" s="5">
        <f>Tabla1[[#This Row],[FEBRERO]]/4</f>
        <v>595062.5</v>
      </c>
      <c r="P28" s="5">
        <f>AVERAGE(Tabla1[[#This Row],[ENERO]:[JULIO]])</f>
        <v>1802189.2857142857</v>
      </c>
      <c r="Q28" s="5">
        <f>Tabla1[[#This Row],[ABRIL]]*20%+Tabla1[[#This Row],[ABRIL]]</f>
        <v>3427560</v>
      </c>
      <c r="R28" s="5">
        <f>Tabla1[[#This Row],[ENERO]]-Tabla1[[#This Row],[ENERO]]*75%</f>
        <v>119012.5</v>
      </c>
      <c r="S28" s="9">
        <f>SUM(Tabla1[[#This Row],[ENERO]:[DICIEMBRE]])</f>
        <v>19987299.285714284</v>
      </c>
      <c r="T28" s="5" t="str">
        <f>IF(OR(Tabla1[[#This Row],[TOTAL]]&gt;=20000000,Tabla1[[#This Row],[CARGO]]="Ginecológa"),"H.San Vicente de Paul","H.San Juan de Dios")</f>
        <v>H.San Juan de Dios</v>
      </c>
      <c r="U28" s="5" t="str">
        <f>IF(OR(Tabla1[[#This Row],[TRASLADO]]="H.San Juan de Dios",Tabla1[[#This Row],[CARGO]]="Médico Cirujano"),"Sabaneta","Envigado")</f>
        <v>Sabaneta</v>
      </c>
      <c r="V28" s="5" t="str">
        <f>IF(Tabla1[[#This Row],[OCTUBRE]]&gt;=980000,"Cancum",75000)</f>
        <v>Cancum</v>
      </c>
      <c r="W28" s="5" t="str">
        <f>IF(OR(Tabla1[[#This Row],[CIUDAD]]="Medellín",Tabla1[[#This Row],[CARGO]]="Médico Internista"),"Bogotá","Cali")</f>
        <v>Cali</v>
      </c>
      <c r="X28" s="5" t="str">
        <f>IF(OR(Tabla1[[#This Row],[HOSPITAL]]="Manuel Uribe Angel",Tabla1[[#This Row],[CARGO]]="Pediatra"),"Jefe de Cardiología","Sala de Partos")</f>
        <v>Sala de Partos</v>
      </c>
      <c r="Y28" s="5">
        <f>IF(Tabla1[[#This Row],[SALARIO]]&lt;=4100000,100000,50000)</f>
        <v>50000</v>
      </c>
      <c r="Z28" s="5">
        <f>IF(AND(Tabla1[[#This Row],[SEPTIEMBRE]]&gt;=1500000,Tabla1[[#This Row],[TRASLADO]]="H.San Vicente de Paul"),Tabla1[[#This Row],[SEPTIEMBRE]]*30%,Tabla1[[#This Row],[SEPTIEMBRE]]*15%)</f>
        <v>89259.375</v>
      </c>
      <c r="AA28" s="5" t="str">
        <f>IF(OR(Tabla1[[#This Row],[HOSPITAL]]="Gabriel Jaramillo Piedrahita",Tabla1[[#This Row],[PREMIO]]=75000),"Jefe de Internistas","Ginecología")</f>
        <v>Ginecología</v>
      </c>
      <c r="AB28" s="5">
        <f>IF(AND(Tabla1[[#This Row],[TOTAL]]&gt;=60000000,Tabla1[[#This Row],[NEWSEDE]]="Cali"),Tabla1[[#This Row],[TOTAL]]/3,Tabla1[[#This Row],[TOTAL]]/5)</f>
        <v>3997459.8571428568</v>
      </c>
      <c r="AC28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28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29" spans="1:30" x14ac:dyDescent="0.25">
      <c r="A29" s="8">
        <v>13127091</v>
      </c>
      <c r="B29" s="4" t="s">
        <v>46</v>
      </c>
      <c r="C29" s="3" t="s">
        <v>58</v>
      </c>
      <c r="D29" s="4" t="s">
        <v>65</v>
      </c>
      <c r="E29" s="5" t="s">
        <v>69</v>
      </c>
      <c r="F29" s="5">
        <v>10568300</v>
      </c>
      <c r="G29" s="5">
        <f>Tabla1[[#This Row],[SALARIO]]*10%</f>
        <v>1056830</v>
      </c>
      <c r="H29" s="5">
        <f>Tabla1[[#This Row],[ENERO]]*5</f>
        <v>5284150</v>
      </c>
      <c r="I29" s="5">
        <f>Tabla1[[#This Row],[FEBRERO]]*80%</f>
        <v>4227320</v>
      </c>
      <c r="J29" s="5">
        <f>SUM(Tabla1[[#This Row],[ENERO]:[FEBRERO]])</f>
        <v>6340980</v>
      </c>
      <c r="K29" s="5">
        <f>Tabla1[[#This Row],[ABRIL]]/2</f>
        <v>3170490</v>
      </c>
      <c r="L29" s="5">
        <f>Tabla1[[#This Row],[FEBRERO]]/2</f>
        <v>2642075</v>
      </c>
      <c r="M29" s="5">
        <f>Tabla1[[#This Row],[ABRIL]]-Tabla1[[#This Row],[ENERO]]</f>
        <v>5284150</v>
      </c>
      <c r="N29" s="5">
        <f>Tabla1[[#This Row],[ENERO]]*3</f>
        <v>3170490</v>
      </c>
      <c r="O29" s="5">
        <f>Tabla1[[#This Row],[FEBRERO]]/4</f>
        <v>1321037.5</v>
      </c>
      <c r="P29" s="5">
        <f>AVERAGE(Tabla1[[#This Row],[ENERO]:[JULIO]])</f>
        <v>4000856.4285714286</v>
      </c>
      <c r="Q29" s="5">
        <f>Tabla1[[#This Row],[ABRIL]]*20%+Tabla1[[#This Row],[ABRIL]]</f>
        <v>7609176</v>
      </c>
      <c r="R29" s="5">
        <f>Tabla1[[#This Row],[ENERO]]-Tabla1[[#This Row],[ENERO]]*75%</f>
        <v>264207.5</v>
      </c>
      <c r="S29" s="9">
        <f>SUM(Tabla1[[#This Row],[ENERO]:[DICIEMBRE]])</f>
        <v>44371762.428571425</v>
      </c>
      <c r="T29" s="5" t="str">
        <f>IF(OR(Tabla1[[#This Row],[TOTAL]]&gt;=20000000,Tabla1[[#This Row],[CARGO]]="Ginecológa"),"H.San Vicente de Paul","H.San Juan de Dios")</f>
        <v>H.San Vicente de Paul</v>
      </c>
      <c r="U29" s="5" t="str">
        <f>IF(OR(Tabla1[[#This Row],[TRASLADO]]="H.San Juan de Dios",Tabla1[[#This Row],[CARGO]]="Médico Cirujano"),"Sabaneta","Envigado")</f>
        <v>Sabaneta</v>
      </c>
      <c r="V29" s="5" t="str">
        <f>IF(Tabla1[[#This Row],[OCTUBRE]]&gt;=980000,"Cancum",75000)</f>
        <v>Cancum</v>
      </c>
      <c r="W29" s="5" t="str">
        <f>IF(OR(Tabla1[[#This Row],[CIUDAD]]="Medellín",Tabla1[[#This Row],[CARGO]]="Médico Internista"),"Bogotá","Cali")</f>
        <v>Cali</v>
      </c>
      <c r="X29" s="5" t="str">
        <f>IF(OR(Tabla1[[#This Row],[HOSPITAL]]="Manuel Uribe Angel",Tabla1[[#This Row],[CARGO]]="Pediatra"),"Jefe de Cardiología","Sala de Partos")</f>
        <v>Sala de Partos</v>
      </c>
      <c r="Y29" s="5">
        <f>IF(Tabla1[[#This Row],[SALARIO]]&lt;=4100000,100000,50000)</f>
        <v>50000</v>
      </c>
      <c r="Z29" s="5">
        <f>IF(AND(Tabla1[[#This Row],[SEPTIEMBRE]]&gt;=1500000,Tabla1[[#This Row],[TRASLADO]]="H.San Vicente de Paul"),Tabla1[[#This Row],[SEPTIEMBRE]]*30%,Tabla1[[#This Row],[SEPTIEMBRE]]*15%)</f>
        <v>198155.625</v>
      </c>
      <c r="AA29" s="5" t="str">
        <f>IF(OR(Tabla1[[#This Row],[HOSPITAL]]="Gabriel Jaramillo Piedrahita",Tabla1[[#This Row],[PREMIO]]=75000),"Jefe de Internistas","Ginecología")</f>
        <v>Ginecología</v>
      </c>
      <c r="AB29" s="5">
        <f>IF(AND(Tabla1[[#This Row],[TOTAL]]&gt;=60000000,Tabla1[[#This Row],[NEWSEDE]]="Cali"),Tabla1[[#This Row],[TOTAL]]/3,Tabla1[[#This Row],[TOTAL]]/5)</f>
        <v>8874352.4857142847</v>
      </c>
      <c r="AC29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29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30" spans="1:30" x14ac:dyDescent="0.25">
      <c r="A30" s="8">
        <v>16347799</v>
      </c>
      <c r="B30" s="2" t="s">
        <v>47</v>
      </c>
      <c r="C30" s="3" t="s">
        <v>61</v>
      </c>
      <c r="D30" s="4" t="s">
        <v>65</v>
      </c>
      <c r="E30" s="5" t="s">
        <v>68</v>
      </c>
      <c r="F30" s="5">
        <v>11242100</v>
      </c>
      <c r="G30" s="5">
        <f>Tabla1[[#This Row],[SALARIO]]*10%</f>
        <v>1124210</v>
      </c>
      <c r="H30" s="5">
        <f>Tabla1[[#This Row],[ENERO]]*5</f>
        <v>5621050</v>
      </c>
      <c r="I30" s="5">
        <f>Tabla1[[#This Row],[FEBRERO]]*80%</f>
        <v>4496840</v>
      </c>
      <c r="J30" s="5">
        <f>SUM(Tabla1[[#This Row],[ENERO]:[FEBRERO]])</f>
        <v>6745260</v>
      </c>
      <c r="K30" s="5">
        <f>Tabla1[[#This Row],[ABRIL]]/2</f>
        <v>3372630</v>
      </c>
      <c r="L30" s="5">
        <f>Tabla1[[#This Row],[FEBRERO]]/2</f>
        <v>2810525</v>
      </c>
      <c r="M30" s="5">
        <f>Tabla1[[#This Row],[ABRIL]]-Tabla1[[#This Row],[ENERO]]</f>
        <v>5621050</v>
      </c>
      <c r="N30" s="5">
        <f>Tabla1[[#This Row],[ENERO]]*3</f>
        <v>3372630</v>
      </c>
      <c r="O30" s="5">
        <f>Tabla1[[#This Row],[FEBRERO]]/4</f>
        <v>1405262.5</v>
      </c>
      <c r="P30" s="5">
        <f>AVERAGE(Tabla1[[#This Row],[ENERO]:[JULIO]])</f>
        <v>4255937.8571428573</v>
      </c>
      <c r="Q30" s="5">
        <f>Tabla1[[#This Row],[ABRIL]]*20%+Tabla1[[#This Row],[ABRIL]]</f>
        <v>8094312</v>
      </c>
      <c r="R30" s="5">
        <f>Tabla1[[#This Row],[ENERO]]-Tabla1[[#This Row],[ENERO]]*75%</f>
        <v>281052.5</v>
      </c>
      <c r="S30" s="9">
        <f>SUM(Tabla1[[#This Row],[ENERO]:[DICIEMBRE]])</f>
        <v>47200759.857142858</v>
      </c>
      <c r="T30" s="5" t="str">
        <f>IF(OR(Tabla1[[#This Row],[TOTAL]]&gt;=20000000,Tabla1[[#This Row],[CARGO]]="Ginecológa"),"H.San Vicente de Paul","H.San Juan de Dios")</f>
        <v>H.San Vicente de Paul</v>
      </c>
      <c r="U30" s="5" t="str">
        <f>IF(OR(Tabla1[[#This Row],[TRASLADO]]="H.San Juan de Dios",Tabla1[[#This Row],[CARGO]]="Médico Cirujano"),"Sabaneta","Envigado")</f>
        <v>Sabaneta</v>
      </c>
      <c r="V30" s="5" t="str">
        <f>IF(Tabla1[[#This Row],[OCTUBRE]]&gt;=980000,"Cancum",75000)</f>
        <v>Cancum</v>
      </c>
      <c r="W30" s="5" t="str">
        <f>IF(OR(Tabla1[[#This Row],[CIUDAD]]="Medellín",Tabla1[[#This Row],[CARGO]]="Médico Internista"),"Bogotá","Cali")</f>
        <v>Cali</v>
      </c>
      <c r="X30" s="5" t="str">
        <f>IF(OR(Tabla1[[#This Row],[HOSPITAL]]="Manuel Uribe Angel",Tabla1[[#This Row],[CARGO]]="Pediatra"),"Jefe de Cardiología","Sala de Partos")</f>
        <v>Sala de Partos</v>
      </c>
      <c r="Y30" s="5">
        <f>IF(Tabla1[[#This Row],[SALARIO]]&lt;=4100000,100000,50000)</f>
        <v>50000</v>
      </c>
      <c r="Z30" s="5">
        <f>IF(AND(Tabla1[[#This Row],[SEPTIEMBRE]]&gt;=1500000,Tabla1[[#This Row],[TRASLADO]]="H.San Vicente de Paul"),Tabla1[[#This Row],[SEPTIEMBRE]]*30%,Tabla1[[#This Row],[SEPTIEMBRE]]*15%)</f>
        <v>210789.375</v>
      </c>
      <c r="AA30" s="5" t="str">
        <f>IF(OR(Tabla1[[#This Row],[HOSPITAL]]="Gabriel Jaramillo Piedrahita",Tabla1[[#This Row],[PREMIO]]=75000),"Jefe de Internistas","Ginecología")</f>
        <v>Ginecología</v>
      </c>
      <c r="AB30" s="5">
        <f>IF(AND(Tabla1[[#This Row],[TOTAL]]&gt;=60000000,Tabla1[[#This Row],[NEWSEDE]]="Cali"),Tabla1[[#This Row],[TOTAL]]/3,Tabla1[[#This Row],[TOTAL]]/5)</f>
        <v>9440151.9714285713</v>
      </c>
      <c r="AC30" s="5" t="str">
        <f>IF(AND(Tabla1[[#This Row],[HOSPITAL]]="San Vicente de Paul",Tabla1[[#This Row],[CARGO]]="Médico Cirujano"),"Negro",IF(AND(Tabla1[[#This Row],[HOSPITAL]]="San Juan de Dios",Tabla1[[#This Row],[CARGO]]="Ginecóloga"),"Azul","Gris"))</f>
        <v>Negro</v>
      </c>
      <c r="AD30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31" spans="1:30" x14ac:dyDescent="0.25">
      <c r="A31" s="8">
        <v>10475395</v>
      </c>
      <c r="B31" s="2" t="s">
        <v>48</v>
      </c>
      <c r="C31" s="3" t="s">
        <v>58</v>
      </c>
      <c r="D31" s="4" t="s">
        <v>65</v>
      </c>
      <c r="E31" s="5" t="s">
        <v>69</v>
      </c>
      <c r="F31" s="5">
        <v>7916100</v>
      </c>
      <c r="G31" s="5">
        <f>Tabla1[[#This Row],[SALARIO]]*10%</f>
        <v>791610</v>
      </c>
      <c r="H31" s="5">
        <f>Tabla1[[#This Row],[ENERO]]*5</f>
        <v>3958050</v>
      </c>
      <c r="I31" s="5">
        <f>Tabla1[[#This Row],[FEBRERO]]*80%</f>
        <v>3166440</v>
      </c>
      <c r="J31" s="5">
        <f>SUM(Tabla1[[#This Row],[ENERO]:[FEBRERO]])</f>
        <v>4749660</v>
      </c>
      <c r="K31" s="5">
        <f>Tabla1[[#This Row],[ABRIL]]/2</f>
        <v>2374830</v>
      </c>
      <c r="L31" s="5">
        <f>Tabla1[[#This Row],[FEBRERO]]/2</f>
        <v>1979025</v>
      </c>
      <c r="M31" s="5">
        <f>Tabla1[[#This Row],[ABRIL]]-Tabla1[[#This Row],[ENERO]]</f>
        <v>3958050</v>
      </c>
      <c r="N31" s="5">
        <f>Tabla1[[#This Row],[ENERO]]*3</f>
        <v>2374830</v>
      </c>
      <c r="O31" s="5">
        <f>Tabla1[[#This Row],[FEBRERO]]/4</f>
        <v>989512.5</v>
      </c>
      <c r="P31" s="5">
        <f>AVERAGE(Tabla1[[#This Row],[ENERO]:[JULIO]])</f>
        <v>2996809.2857142859</v>
      </c>
      <c r="Q31" s="5">
        <f>Tabla1[[#This Row],[ABRIL]]*20%+Tabla1[[#This Row],[ABRIL]]</f>
        <v>5699592</v>
      </c>
      <c r="R31" s="5">
        <f>Tabla1[[#This Row],[ENERO]]-Tabla1[[#This Row],[ENERO]]*75%</f>
        <v>197902.5</v>
      </c>
      <c r="S31" s="9">
        <f>SUM(Tabla1[[#This Row],[ENERO]:[DICIEMBRE]])</f>
        <v>33236311.285714287</v>
      </c>
      <c r="T31" s="5" t="str">
        <f>IF(OR(Tabla1[[#This Row],[TOTAL]]&gt;=20000000,Tabla1[[#This Row],[CARGO]]="Ginecológa"),"H.San Vicente de Paul","H.San Juan de Dios")</f>
        <v>H.San Vicente de Paul</v>
      </c>
      <c r="U31" s="5" t="str">
        <f>IF(OR(Tabla1[[#This Row],[TRASLADO]]="H.San Juan de Dios",Tabla1[[#This Row],[CARGO]]="Médico Cirujano"),"Sabaneta","Envigado")</f>
        <v>Sabaneta</v>
      </c>
      <c r="V31" s="5" t="str">
        <f>IF(Tabla1[[#This Row],[OCTUBRE]]&gt;=980000,"Cancum",75000)</f>
        <v>Cancum</v>
      </c>
      <c r="W31" s="5" t="str">
        <f>IF(OR(Tabla1[[#This Row],[CIUDAD]]="Medellín",Tabla1[[#This Row],[CARGO]]="Médico Internista"),"Bogotá","Cali")</f>
        <v>Cali</v>
      </c>
      <c r="X31" s="5" t="str">
        <f>IF(OR(Tabla1[[#This Row],[HOSPITAL]]="Manuel Uribe Angel",Tabla1[[#This Row],[CARGO]]="Pediatra"),"Jefe de Cardiología","Sala de Partos")</f>
        <v>Sala de Partos</v>
      </c>
      <c r="Y31" s="5">
        <f>IF(Tabla1[[#This Row],[SALARIO]]&lt;=4100000,100000,50000)</f>
        <v>50000</v>
      </c>
      <c r="Z31" s="5">
        <f>IF(AND(Tabla1[[#This Row],[SEPTIEMBRE]]&gt;=1500000,Tabla1[[#This Row],[TRASLADO]]="H.San Vicente de Paul"),Tabla1[[#This Row],[SEPTIEMBRE]]*30%,Tabla1[[#This Row],[SEPTIEMBRE]]*15%)</f>
        <v>148426.875</v>
      </c>
      <c r="AA31" s="5" t="str">
        <f>IF(OR(Tabla1[[#This Row],[HOSPITAL]]="Gabriel Jaramillo Piedrahita",Tabla1[[#This Row],[PREMIO]]=75000),"Jefe de Internistas","Ginecología")</f>
        <v>Ginecología</v>
      </c>
      <c r="AB31" s="5">
        <f>IF(AND(Tabla1[[#This Row],[TOTAL]]&gt;=60000000,Tabla1[[#This Row],[NEWSEDE]]="Cali"),Tabla1[[#This Row],[TOTAL]]/3,Tabla1[[#This Row],[TOTAL]]/5)</f>
        <v>6647262.2571428576</v>
      </c>
      <c r="AC31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31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32" spans="1:30" x14ac:dyDescent="0.25">
      <c r="A32" s="8">
        <v>20875325</v>
      </c>
      <c r="B32" s="4" t="s">
        <v>49</v>
      </c>
      <c r="C32" s="3" t="s">
        <v>58</v>
      </c>
      <c r="D32" s="4" t="s">
        <v>67</v>
      </c>
      <c r="E32" s="5" t="s">
        <v>69</v>
      </c>
      <c r="F32" s="5">
        <v>17755800</v>
      </c>
      <c r="G32" s="5">
        <f>Tabla1[[#This Row],[SALARIO]]*10%</f>
        <v>1775580</v>
      </c>
      <c r="H32" s="5">
        <f>Tabla1[[#This Row],[ENERO]]*5</f>
        <v>8877900</v>
      </c>
      <c r="I32" s="5">
        <f>Tabla1[[#This Row],[FEBRERO]]*80%</f>
        <v>7102320</v>
      </c>
      <c r="J32" s="5">
        <f>SUM(Tabla1[[#This Row],[ENERO]:[FEBRERO]])</f>
        <v>10653480</v>
      </c>
      <c r="K32" s="5">
        <f>Tabla1[[#This Row],[ABRIL]]/2</f>
        <v>5326740</v>
      </c>
      <c r="L32" s="5">
        <f>Tabla1[[#This Row],[FEBRERO]]/2</f>
        <v>4438950</v>
      </c>
      <c r="M32" s="5">
        <f>Tabla1[[#This Row],[ABRIL]]-Tabla1[[#This Row],[ENERO]]</f>
        <v>8877900</v>
      </c>
      <c r="N32" s="5">
        <f>Tabla1[[#This Row],[ENERO]]*3</f>
        <v>5326740</v>
      </c>
      <c r="O32" s="5">
        <f>Tabla1[[#This Row],[FEBRERO]]/4</f>
        <v>2219475</v>
      </c>
      <c r="P32" s="5">
        <f>AVERAGE(Tabla1[[#This Row],[ENERO]:[JULIO]])</f>
        <v>6721838.5714285718</v>
      </c>
      <c r="Q32" s="5">
        <f>Tabla1[[#This Row],[ABRIL]]*20%+Tabla1[[#This Row],[ABRIL]]</f>
        <v>12784176</v>
      </c>
      <c r="R32" s="5">
        <f>Tabla1[[#This Row],[ENERO]]-Tabla1[[#This Row],[ENERO]]*75%</f>
        <v>443895</v>
      </c>
      <c r="S32" s="9">
        <f>SUM(Tabla1[[#This Row],[ENERO]:[DICIEMBRE]])</f>
        <v>74548994.571428567</v>
      </c>
      <c r="T32" s="5" t="str">
        <f>IF(OR(Tabla1[[#This Row],[TOTAL]]&gt;=20000000,Tabla1[[#This Row],[CARGO]]="Ginecológa"),"H.San Vicente de Paul","H.San Juan de Dios")</f>
        <v>H.San Vicente de Paul</v>
      </c>
      <c r="U32" s="5" t="str">
        <f>IF(OR(Tabla1[[#This Row],[TRASLADO]]="H.San Juan de Dios",Tabla1[[#This Row],[CARGO]]="Médico Cirujano"),"Sabaneta","Envigado")</f>
        <v>Envigado</v>
      </c>
      <c r="V32" s="5" t="str">
        <f>IF(Tabla1[[#This Row],[OCTUBRE]]&gt;=980000,"Cancum",75000)</f>
        <v>Cancum</v>
      </c>
      <c r="W32" s="5" t="str">
        <f>IF(OR(Tabla1[[#This Row],[CIUDAD]]="Medellín",Tabla1[[#This Row],[CARGO]]="Médico Internista"),"Bogotá","Cali")</f>
        <v>Cali</v>
      </c>
      <c r="X32" s="5" t="str">
        <f>IF(OR(Tabla1[[#This Row],[HOSPITAL]]="Manuel Uribe Angel",Tabla1[[#This Row],[CARGO]]="Pediatra"),"Jefe de Cardiología","Sala de Partos")</f>
        <v>Sala de Partos</v>
      </c>
      <c r="Y32" s="5">
        <f>IF(Tabla1[[#This Row],[SALARIO]]&lt;=4100000,100000,50000)</f>
        <v>50000</v>
      </c>
      <c r="Z32" s="5">
        <f>IF(AND(Tabla1[[#This Row],[SEPTIEMBRE]]&gt;=1500000,Tabla1[[#This Row],[TRASLADO]]="H.San Vicente de Paul"),Tabla1[[#This Row],[SEPTIEMBRE]]*30%,Tabla1[[#This Row],[SEPTIEMBRE]]*15%)</f>
        <v>665842.5</v>
      </c>
      <c r="AA32" s="5" t="str">
        <f>IF(OR(Tabla1[[#This Row],[HOSPITAL]]="Gabriel Jaramillo Piedrahita",Tabla1[[#This Row],[PREMIO]]=75000),"Jefe de Internistas","Ginecología")</f>
        <v>Ginecología</v>
      </c>
      <c r="AB32" s="5">
        <f>IF(AND(Tabla1[[#This Row],[TOTAL]]&gt;=60000000,Tabla1[[#This Row],[NEWSEDE]]="Cali"),Tabla1[[#This Row],[TOTAL]]/3,Tabla1[[#This Row],[TOTAL]]/5)</f>
        <v>24849664.857142854</v>
      </c>
      <c r="AC32" s="5" t="str">
        <f>IF(AND(Tabla1[[#This Row],[HOSPITAL]]="San Vicente de Paul",Tabla1[[#This Row],[CARGO]]="Médico Cirujano"),"Negro",IF(AND(Tabla1[[#This Row],[HOSPITAL]]="San Juan de Dios",Tabla1[[#This Row],[CARGO]]="Ginecóloga"),"Azul","Gris"))</f>
        <v>Azul</v>
      </c>
      <c r="AD32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Lunes</v>
      </c>
    </row>
    <row r="33" spans="1:30" x14ac:dyDescent="0.25">
      <c r="A33" s="8">
        <v>9229795</v>
      </c>
      <c r="B33" s="2" t="s">
        <v>50</v>
      </c>
      <c r="C33" s="3" t="s">
        <v>61</v>
      </c>
      <c r="D33" s="4" t="s">
        <v>65</v>
      </c>
      <c r="E33" s="5" t="s">
        <v>70</v>
      </c>
      <c r="F33" s="5">
        <v>6717700</v>
      </c>
      <c r="G33" s="5">
        <f>Tabla1[[#This Row],[SALARIO]]*10%</f>
        <v>671770</v>
      </c>
      <c r="H33" s="5">
        <f>Tabla1[[#This Row],[ENERO]]*5</f>
        <v>3358850</v>
      </c>
      <c r="I33" s="5">
        <f>Tabla1[[#This Row],[FEBRERO]]*80%</f>
        <v>2687080</v>
      </c>
      <c r="J33" s="5">
        <f>SUM(Tabla1[[#This Row],[ENERO]:[FEBRERO]])</f>
        <v>4030620</v>
      </c>
      <c r="K33" s="5">
        <f>Tabla1[[#This Row],[ABRIL]]/2</f>
        <v>2015310</v>
      </c>
      <c r="L33" s="5">
        <f>Tabla1[[#This Row],[FEBRERO]]/2</f>
        <v>1679425</v>
      </c>
      <c r="M33" s="5">
        <f>Tabla1[[#This Row],[ABRIL]]-Tabla1[[#This Row],[ENERO]]</f>
        <v>3358850</v>
      </c>
      <c r="N33" s="5">
        <f>Tabla1[[#This Row],[ENERO]]*3</f>
        <v>2015310</v>
      </c>
      <c r="O33" s="5">
        <f>Tabla1[[#This Row],[FEBRERO]]/4</f>
        <v>839712.5</v>
      </c>
      <c r="P33" s="5">
        <f>AVERAGE(Tabla1[[#This Row],[ENERO]:[JULIO]])</f>
        <v>2543129.2857142859</v>
      </c>
      <c r="Q33" s="5">
        <f>Tabla1[[#This Row],[ABRIL]]*20%+Tabla1[[#This Row],[ABRIL]]</f>
        <v>4836744</v>
      </c>
      <c r="R33" s="5">
        <f>Tabla1[[#This Row],[ENERO]]-Tabla1[[#This Row],[ENERO]]*75%</f>
        <v>167942.5</v>
      </c>
      <c r="S33" s="9">
        <f>SUM(Tabla1[[#This Row],[ENERO]:[DICIEMBRE]])</f>
        <v>28204743.285714287</v>
      </c>
      <c r="T33" s="5" t="str">
        <f>IF(OR(Tabla1[[#This Row],[TOTAL]]&gt;=20000000,Tabla1[[#This Row],[CARGO]]="Ginecológa"),"H.San Vicente de Paul","H.San Juan de Dios")</f>
        <v>H.San Vicente de Paul</v>
      </c>
      <c r="U33" s="5" t="str">
        <f>IF(OR(Tabla1[[#This Row],[TRASLADO]]="H.San Juan de Dios",Tabla1[[#This Row],[CARGO]]="Médico Cirujano"),"Sabaneta","Envigado")</f>
        <v>Sabaneta</v>
      </c>
      <c r="V33" s="5" t="str">
        <f>IF(Tabla1[[#This Row],[OCTUBRE]]&gt;=980000,"Cancum",75000)</f>
        <v>Cancum</v>
      </c>
      <c r="W33" s="5" t="str">
        <f>IF(OR(Tabla1[[#This Row],[CIUDAD]]="Medellín",Tabla1[[#This Row],[CARGO]]="Médico Internista"),"Bogotá","Cali")</f>
        <v>Cali</v>
      </c>
      <c r="X33" s="5" t="str">
        <f>IF(OR(Tabla1[[#This Row],[HOSPITAL]]="Manuel Uribe Angel",Tabla1[[#This Row],[CARGO]]="Pediatra"),"Jefe de Cardiología","Sala de Partos")</f>
        <v>Sala de Partos</v>
      </c>
      <c r="Y33" s="5">
        <f>IF(Tabla1[[#This Row],[SALARIO]]&lt;=4100000,100000,50000)</f>
        <v>50000</v>
      </c>
      <c r="Z33" s="5">
        <f>IF(AND(Tabla1[[#This Row],[SEPTIEMBRE]]&gt;=1500000,Tabla1[[#This Row],[TRASLADO]]="H.San Vicente de Paul"),Tabla1[[#This Row],[SEPTIEMBRE]]*30%,Tabla1[[#This Row],[SEPTIEMBRE]]*15%)</f>
        <v>125956.875</v>
      </c>
      <c r="AA33" s="5" t="str">
        <f>IF(OR(Tabla1[[#This Row],[HOSPITAL]]="Gabriel Jaramillo Piedrahita",Tabla1[[#This Row],[PREMIO]]=75000),"Jefe de Internistas","Ginecología")</f>
        <v>Jefe de Internistas</v>
      </c>
      <c r="AB33" s="5">
        <f>IF(AND(Tabla1[[#This Row],[TOTAL]]&gt;=60000000,Tabla1[[#This Row],[NEWSEDE]]="Cali"),Tabla1[[#This Row],[TOTAL]]/3,Tabla1[[#This Row],[TOTAL]]/5)</f>
        <v>5640948.6571428571</v>
      </c>
      <c r="AC33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33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34" spans="1:30" x14ac:dyDescent="0.25">
      <c r="A34" s="8">
        <v>17369009</v>
      </c>
      <c r="B34" s="4" t="s">
        <v>51</v>
      </c>
      <c r="C34" s="3" t="s">
        <v>59</v>
      </c>
      <c r="D34" s="4" t="s">
        <v>65</v>
      </c>
      <c r="E34" s="5" t="s">
        <v>71</v>
      </c>
      <c r="F34" s="5">
        <v>14818300</v>
      </c>
      <c r="G34" s="5">
        <f>Tabla1[[#This Row],[SALARIO]]*10%</f>
        <v>1481830</v>
      </c>
      <c r="H34" s="5">
        <f>Tabla1[[#This Row],[ENERO]]*5</f>
        <v>7409150</v>
      </c>
      <c r="I34" s="5">
        <f>Tabla1[[#This Row],[FEBRERO]]*80%</f>
        <v>5927320</v>
      </c>
      <c r="J34" s="5">
        <f>SUM(Tabla1[[#This Row],[ENERO]:[FEBRERO]])</f>
        <v>8890980</v>
      </c>
      <c r="K34" s="5">
        <f>Tabla1[[#This Row],[ABRIL]]/2</f>
        <v>4445490</v>
      </c>
      <c r="L34" s="5">
        <f>Tabla1[[#This Row],[FEBRERO]]/2</f>
        <v>3704575</v>
      </c>
      <c r="M34" s="5">
        <f>Tabla1[[#This Row],[ABRIL]]-Tabla1[[#This Row],[ENERO]]</f>
        <v>7409150</v>
      </c>
      <c r="N34" s="5">
        <f>Tabla1[[#This Row],[ENERO]]*3</f>
        <v>4445490</v>
      </c>
      <c r="O34" s="5">
        <f>Tabla1[[#This Row],[FEBRERO]]/4</f>
        <v>1852287.5</v>
      </c>
      <c r="P34" s="5">
        <f>AVERAGE(Tabla1[[#This Row],[ENERO]:[JULIO]])</f>
        <v>5609785</v>
      </c>
      <c r="Q34" s="5">
        <f>Tabla1[[#This Row],[ABRIL]]*20%+Tabla1[[#This Row],[ABRIL]]</f>
        <v>10669176</v>
      </c>
      <c r="R34" s="5">
        <f>Tabla1[[#This Row],[ENERO]]-Tabla1[[#This Row],[ENERO]]*75%</f>
        <v>370457.5</v>
      </c>
      <c r="S34" s="9">
        <f>SUM(Tabla1[[#This Row],[ENERO]:[DICIEMBRE]])</f>
        <v>62215691</v>
      </c>
      <c r="T34" s="5" t="str">
        <f>IF(OR(Tabla1[[#This Row],[TOTAL]]&gt;=20000000,Tabla1[[#This Row],[CARGO]]="Ginecológa"),"H.San Vicente de Paul","H.San Juan de Dios")</f>
        <v>H.San Vicente de Paul</v>
      </c>
      <c r="U34" s="5" t="str">
        <f>IF(OR(Tabla1[[#This Row],[TRASLADO]]="H.San Juan de Dios",Tabla1[[#This Row],[CARGO]]="Médico Cirujano"),"Sabaneta","Envigado")</f>
        <v>Sabaneta</v>
      </c>
      <c r="V34" s="5" t="str">
        <f>IF(Tabla1[[#This Row],[OCTUBRE]]&gt;=980000,"Cancum",75000)</f>
        <v>Cancum</v>
      </c>
      <c r="W34" s="5" t="str">
        <f>IF(OR(Tabla1[[#This Row],[CIUDAD]]="Medellín",Tabla1[[#This Row],[CARGO]]="Médico Internista"),"Bogotá","Cali")</f>
        <v>Cali</v>
      </c>
      <c r="X34" s="5" t="str">
        <f>IF(OR(Tabla1[[#This Row],[HOSPITAL]]="Manuel Uribe Angel",Tabla1[[#This Row],[CARGO]]="Pediatra"),"Jefe de Cardiología","Sala de Partos")</f>
        <v>Jefe de Cardiología</v>
      </c>
      <c r="Y34" s="5">
        <f>IF(Tabla1[[#This Row],[SALARIO]]&lt;=4100000,100000,50000)</f>
        <v>50000</v>
      </c>
      <c r="Z34" s="5">
        <f>IF(AND(Tabla1[[#This Row],[SEPTIEMBRE]]&gt;=1500000,Tabla1[[#This Row],[TRASLADO]]="H.San Vicente de Paul"),Tabla1[[#This Row],[SEPTIEMBRE]]*30%,Tabla1[[#This Row],[SEPTIEMBRE]]*15%)</f>
        <v>555686.25</v>
      </c>
      <c r="AA34" s="5" t="str">
        <f>IF(OR(Tabla1[[#This Row],[HOSPITAL]]="Gabriel Jaramillo Piedrahita",Tabla1[[#This Row],[PREMIO]]=75000),"Jefe de Internistas","Ginecología")</f>
        <v>Ginecología</v>
      </c>
      <c r="AB34" s="5">
        <f>IF(AND(Tabla1[[#This Row],[TOTAL]]&gt;=60000000,Tabla1[[#This Row],[NEWSEDE]]="Cali"),Tabla1[[#This Row],[TOTAL]]/3,Tabla1[[#This Row],[TOTAL]]/5)</f>
        <v>20738563.666666668</v>
      </c>
      <c r="AC34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34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Lunes</v>
      </c>
    </row>
    <row r="35" spans="1:30" x14ac:dyDescent="0.25">
      <c r="A35" s="8">
        <v>17330131</v>
      </c>
      <c r="B35" s="2" t="s">
        <v>52</v>
      </c>
      <c r="C35" s="3" t="s">
        <v>60</v>
      </c>
      <c r="D35" s="4" t="s">
        <v>65</v>
      </c>
      <c r="E35" s="5" t="s">
        <v>70</v>
      </c>
      <c r="F35" s="5">
        <v>14076100</v>
      </c>
      <c r="G35" s="5">
        <f>Tabla1[[#This Row],[SALARIO]]*10%</f>
        <v>1407610</v>
      </c>
      <c r="H35" s="5">
        <f>Tabla1[[#This Row],[ENERO]]*5</f>
        <v>7038050</v>
      </c>
      <c r="I35" s="5">
        <f>Tabla1[[#This Row],[FEBRERO]]*80%</f>
        <v>5630440</v>
      </c>
      <c r="J35" s="5">
        <f>SUM(Tabla1[[#This Row],[ENERO]:[FEBRERO]])</f>
        <v>8445660</v>
      </c>
      <c r="K35" s="5">
        <f>Tabla1[[#This Row],[ABRIL]]/2</f>
        <v>4222830</v>
      </c>
      <c r="L35" s="5">
        <f>Tabla1[[#This Row],[FEBRERO]]/2</f>
        <v>3519025</v>
      </c>
      <c r="M35" s="5">
        <f>Tabla1[[#This Row],[ABRIL]]-Tabla1[[#This Row],[ENERO]]</f>
        <v>7038050</v>
      </c>
      <c r="N35" s="5">
        <f>Tabla1[[#This Row],[ENERO]]*3</f>
        <v>4222830</v>
      </c>
      <c r="O35" s="5">
        <f>Tabla1[[#This Row],[FEBRERO]]/4</f>
        <v>1759512.5</v>
      </c>
      <c r="P35" s="5">
        <f>AVERAGE(Tabla1[[#This Row],[ENERO]:[JULIO]])</f>
        <v>5328809.2857142854</v>
      </c>
      <c r="Q35" s="5">
        <f>Tabla1[[#This Row],[ABRIL]]*20%+Tabla1[[#This Row],[ABRIL]]</f>
        <v>10134792</v>
      </c>
      <c r="R35" s="5">
        <f>Tabla1[[#This Row],[ENERO]]-Tabla1[[#This Row],[ENERO]]*75%</f>
        <v>351902.5</v>
      </c>
      <c r="S35" s="9">
        <f>SUM(Tabla1[[#This Row],[ENERO]:[DICIEMBRE]])</f>
        <v>59099511.285714284</v>
      </c>
      <c r="T35" s="5" t="str">
        <f>IF(OR(Tabla1[[#This Row],[TOTAL]]&gt;=20000000,Tabla1[[#This Row],[CARGO]]="Ginecológa"),"H.San Vicente de Paul","H.San Juan de Dios")</f>
        <v>H.San Vicente de Paul</v>
      </c>
      <c r="U35" s="5" t="str">
        <f>IF(OR(Tabla1[[#This Row],[TRASLADO]]="H.San Juan de Dios",Tabla1[[#This Row],[CARGO]]="Médico Cirujano"),"Sabaneta","Envigado")</f>
        <v>Sabaneta</v>
      </c>
      <c r="V35" s="5" t="str">
        <f>IF(Tabla1[[#This Row],[OCTUBRE]]&gt;=980000,"Cancum",75000)</f>
        <v>Cancum</v>
      </c>
      <c r="W35" s="5" t="str">
        <f>IF(OR(Tabla1[[#This Row],[CIUDAD]]="Medellín",Tabla1[[#This Row],[CARGO]]="Médico Internista"),"Bogotá","Cali")</f>
        <v>Cali</v>
      </c>
      <c r="X35" s="5" t="str">
        <f>IF(OR(Tabla1[[#This Row],[HOSPITAL]]="Manuel Uribe Angel",Tabla1[[#This Row],[CARGO]]="Pediatra"),"Jefe de Cardiología","Sala de Partos")</f>
        <v>Sala de Partos</v>
      </c>
      <c r="Y35" s="5">
        <f>IF(Tabla1[[#This Row],[SALARIO]]&lt;=4100000,100000,50000)</f>
        <v>50000</v>
      </c>
      <c r="Z35" s="5">
        <f>IF(AND(Tabla1[[#This Row],[SEPTIEMBRE]]&gt;=1500000,Tabla1[[#This Row],[TRASLADO]]="H.San Vicente de Paul"),Tabla1[[#This Row],[SEPTIEMBRE]]*30%,Tabla1[[#This Row],[SEPTIEMBRE]]*15%)</f>
        <v>527853.75</v>
      </c>
      <c r="AA35" s="5" t="str">
        <f>IF(OR(Tabla1[[#This Row],[HOSPITAL]]="Gabriel Jaramillo Piedrahita",Tabla1[[#This Row],[PREMIO]]=75000),"Jefe de Internistas","Ginecología")</f>
        <v>Jefe de Internistas</v>
      </c>
      <c r="AB35" s="5">
        <f>IF(AND(Tabla1[[#This Row],[TOTAL]]&gt;=60000000,Tabla1[[#This Row],[NEWSEDE]]="Cali"),Tabla1[[#This Row],[TOTAL]]/3,Tabla1[[#This Row],[TOTAL]]/5)</f>
        <v>11819902.257142857</v>
      </c>
      <c r="AC35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35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36" spans="1:30" x14ac:dyDescent="0.25">
      <c r="A36" s="8">
        <v>8876695</v>
      </c>
      <c r="B36" s="4" t="s">
        <v>53</v>
      </c>
      <c r="C36" s="3" t="s">
        <v>58</v>
      </c>
      <c r="D36" s="4" t="s">
        <v>65</v>
      </c>
      <c r="E36" s="5" t="s">
        <v>69</v>
      </c>
      <c r="F36" s="5">
        <v>6214700</v>
      </c>
      <c r="G36" s="5">
        <f>Tabla1[[#This Row],[SALARIO]]*10%</f>
        <v>621470</v>
      </c>
      <c r="H36" s="5">
        <f>Tabla1[[#This Row],[ENERO]]*5</f>
        <v>3107350</v>
      </c>
      <c r="I36" s="5">
        <f>Tabla1[[#This Row],[FEBRERO]]*80%</f>
        <v>2485880</v>
      </c>
      <c r="J36" s="5">
        <f>SUM(Tabla1[[#This Row],[ENERO]:[FEBRERO]])</f>
        <v>3728820</v>
      </c>
      <c r="K36" s="5">
        <f>Tabla1[[#This Row],[ABRIL]]/2</f>
        <v>1864410</v>
      </c>
      <c r="L36" s="5">
        <f>Tabla1[[#This Row],[FEBRERO]]/2</f>
        <v>1553675</v>
      </c>
      <c r="M36" s="5">
        <f>Tabla1[[#This Row],[ABRIL]]-Tabla1[[#This Row],[ENERO]]</f>
        <v>3107350</v>
      </c>
      <c r="N36" s="5">
        <f>Tabla1[[#This Row],[ENERO]]*3</f>
        <v>1864410</v>
      </c>
      <c r="O36" s="5">
        <f>Tabla1[[#This Row],[FEBRERO]]/4</f>
        <v>776837.5</v>
      </c>
      <c r="P36" s="5">
        <f>AVERAGE(Tabla1[[#This Row],[ENERO]:[JULIO]])</f>
        <v>2352707.8571428573</v>
      </c>
      <c r="Q36" s="5">
        <f>Tabla1[[#This Row],[ABRIL]]*20%+Tabla1[[#This Row],[ABRIL]]</f>
        <v>4474584</v>
      </c>
      <c r="R36" s="5">
        <f>Tabla1[[#This Row],[ENERO]]-Tabla1[[#This Row],[ENERO]]*75%</f>
        <v>155367.5</v>
      </c>
      <c r="S36" s="9">
        <f>SUM(Tabla1[[#This Row],[ENERO]:[DICIEMBRE]])</f>
        <v>26092861.857142858</v>
      </c>
      <c r="T36" s="5" t="str">
        <f>IF(OR(Tabla1[[#This Row],[TOTAL]]&gt;=20000000,Tabla1[[#This Row],[CARGO]]="Ginecológa"),"H.San Vicente de Paul","H.San Juan de Dios")</f>
        <v>H.San Vicente de Paul</v>
      </c>
      <c r="U36" s="5" t="str">
        <f>IF(OR(Tabla1[[#This Row],[TRASLADO]]="H.San Juan de Dios",Tabla1[[#This Row],[CARGO]]="Médico Cirujano"),"Sabaneta","Envigado")</f>
        <v>Sabaneta</v>
      </c>
      <c r="V36" s="5" t="str">
        <f>IF(Tabla1[[#This Row],[OCTUBRE]]&gt;=980000,"Cancum",75000)</f>
        <v>Cancum</v>
      </c>
      <c r="W36" s="5" t="str">
        <f>IF(OR(Tabla1[[#This Row],[CIUDAD]]="Medellín",Tabla1[[#This Row],[CARGO]]="Médico Internista"),"Bogotá","Cali")</f>
        <v>Cali</v>
      </c>
      <c r="X36" s="5" t="str">
        <f>IF(OR(Tabla1[[#This Row],[HOSPITAL]]="Manuel Uribe Angel",Tabla1[[#This Row],[CARGO]]="Pediatra"),"Jefe de Cardiología","Sala de Partos")</f>
        <v>Sala de Partos</v>
      </c>
      <c r="Y36" s="5">
        <f>IF(Tabla1[[#This Row],[SALARIO]]&lt;=4100000,100000,50000)</f>
        <v>50000</v>
      </c>
      <c r="Z36" s="5">
        <f>IF(AND(Tabla1[[#This Row],[SEPTIEMBRE]]&gt;=1500000,Tabla1[[#This Row],[TRASLADO]]="H.San Vicente de Paul"),Tabla1[[#This Row],[SEPTIEMBRE]]*30%,Tabla1[[#This Row],[SEPTIEMBRE]]*15%)</f>
        <v>116525.625</v>
      </c>
      <c r="AA36" s="5" t="str">
        <f>IF(OR(Tabla1[[#This Row],[HOSPITAL]]="Gabriel Jaramillo Piedrahita",Tabla1[[#This Row],[PREMIO]]=75000),"Jefe de Internistas","Ginecología")</f>
        <v>Ginecología</v>
      </c>
      <c r="AB36" s="5">
        <f>IF(AND(Tabla1[[#This Row],[TOTAL]]&gt;=60000000,Tabla1[[#This Row],[NEWSEDE]]="Cali"),Tabla1[[#This Row],[TOTAL]]/3,Tabla1[[#This Row],[TOTAL]]/5)</f>
        <v>5218572.3714285716</v>
      </c>
      <c r="AC36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36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37" spans="1:30" x14ac:dyDescent="0.25">
      <c r="A37" s="8">
        <v>10110095</v>
      </c>
      <c r="B37" s="4" t="s">
        <v>54</v>
      </c>
      <c r="C37" s="3" t="s">
        <v>61</v>
      </c>
      <c r="D37" s="4" t="s">
        <v>66</v>
      </c>
      <c r="E37" s="5" t="s">
        <v>70</v>
      </c>
      <c r="F37" s="5">
        <v>7256100</v>
      </c>
      <c r="G37" s="5">
        <f>Tabla1[[#This Row],[SALARIO]]*10%</f>
        <v>725610</v>
      </c>
      <c r="H37" s="5">
        <f>Tabla1[[#This Row],[ENERO]]*5</f>
        <v>3628050</v>
      </c>
      <c r="I37" s="5">
        <f>Tabla1[[#This Row],[FEBRERO]]*80%</f>
        <v>2902440</v>
      </c>
      <c r="J37" s="5">
        <f>SUM(Tabla1[[#This Row],[ENERO]:[FEBRERO]])</f>
        <v>4353660</v>
      </c>
      <c r="K37" s="5">
        <f>Tabla1[[#This Row],[ABRIL]]/2</f>
        <v>2176830</v>
      </c>
      <c r="L37" s="5">
        <f>Tabla1[[#This Row],[FEBRERO]]/2</f>
        <v>1814025</v>
      </c>
      <c r="M37" s="5">
        <f>Tabla1[[#This Row],[ABRIL]]-Tabla1[[#This Row],[ENERO]]</f>
        <v>3628050</v>
      </c>
      <c r="N37" s="5">
        <f>Tabla1[[#This Row],[ENERO]]*3</f>
        <v>2176830</v>
      </c>
      <c r="O37" s="5">
        <f>Tabla1[[#This Row],[FEBRERO]]/4</f>
        <v>907012.5</v>
      </c>
      <c r="P37" s="5">
        <f>AVERAGE(Tabla1[[#This Row],[ENERO]:[JULIO]])</f>
        <v>2746952.1428571427</v>
      </c>
      <c r="Q37" s="5">
        <f>Tabla1[[#This Row],[ABRIL]]*20%+Tabla1[[#This Row],[ABRIL]]</f>
        <v>5224392</v>
      </c>
      <c r="R37" s="5">
        <f>Tabla1[[#This Row],[ENERO]]-Tabla1[[#This Row],[ENERO]]*75%</f>
        <v>181402.5</v>
      </c>
      <c r="S37" s="9">
        <f>SUM(Tabla1[[#This Row],[ENERO]:[DICIEMBRE]])</f>
        <v>30465254.142857142</v>
      </c>
      <c r="T37" s="5" t="str">
        <f>IF(OR(Tabla1[[#This Row],[TOTAL]]&gt;=20000000,Tabla1[[#This Row],[CARGO]]="Ginecológa"),"H.San Vicente de Paul","H.San Juan de Dios")</f>
        <v>H.San Vicente de Paul</v>
      </c>
      <c r="U37" s="5" t="str">
        <f>IF(OR(Tabla1[[#This Row],[TRASLADO]]="H.San Juan de Dios",Tabla1[[#This Row],[CARGO]]="Médico Cirujano"),"Sabaneta","Envigado")</f>
        <v>Envigado</v>
      </c>
      <c r="V37" s="5" t="str">
        <f>IF(Tabla1[[#This Row],[OCTUBRE]]&gt;=980000,"Cancum",75000)</f>
        <v>Cancum</v>
      </c>
      <c r="W37" s="5" t="str">
        <f>IF(OR(Tabla1[[#This Row],[CIUDAD]]="Medellín",Tabla1[[#This Row],[CARGO]]="Médico Internista"),"Bogotá","Cali")</f>
        <v>Bogotá</v>
      </c>
      <c r="X37" s="5" t="str">
        <f>IF(OR(Tabla1[[#This Row],[HOSPITAL]]="Manuel Uribe Angel",Tabla1[[#This Row],[CARGO]]="Pediatra"),"Jefe de Cardiología","Sala de Partos")</f>
        <v>Sala de Partos</v>
      </c>
      <c r="Y37" s="5">
        <f>IF(Tabla1[[#This Row],[SALARIO]]&lt;=4100000,100000,50000)</f>
        <v>50000</v>
      </c>
      <c r="Z37" s="5">
        <f>IF(AND(Tabla1[[#This Row],[SEPTIEMBRE]]&gt;=1500000,Tabla1[[#This Row],[TRASLADO]]="H.San Vicente de Paul"),Tabla1[[#This Row],[SEPTIEMBRE]]*30%,Tabla1[[#This Row],[SEPTIEMBRE]]*15%)</f>
        <v>136051.875</v>
      </c>
      <c r="AA37" s="5" t="str">
        <f>IF(OR(Tabla1[[#This Row],[HOSPITAL]]="Gabriel Jaramillo Piedrahita",Tabla1[[#This Row],[PREMIO]]=75000),"Jefe de Internistas","Ginecología")</f>
        <v>Jefe de Internistas</v>
      </c>
      <c r="AB37" s="5">
        <f>IF(AND(Tabla1[[#This Row],[TOTAL]]&gt;=60000000,Tabla1[[#This Row],[NEWSEDE]]="Cali"),Tabla1[[#This Row],[TOTAL]]/3,Tabla1[[#This Row],[TOTAL]]/5)</f>
        <v>6093050.8285714285</v>
      </c>
      <c r="AC37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37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Miercoles</v>
      </c>
    </row>
    <row r="38" spans="1:30" x14ac:dyDescent="0.25">
      <c r="A38" s="8">
        <v>9240765</v>
      </c>
      <c r="B38" s="2" t="s">
        <v>55</v>
      </c>
      <c r="C38" s="3" t="s">
        <v>59</v>
      </c>
      <c r="D38" s="4" t="s">
        <v>65</v>
      </c>
      <c r="E38" s="5" t="s">
        <v>68</v>
      </c>
      <c r="F38" s="5">
        <v>7130300</v>
      </c>
      <c r="G38" s="5">
        <f>Tabla1[[#This Row],[SALARIO]]*10%</f>
        <v>713030</v>
      </c>
      <c r="H38" s="5">
        <f>Tabla1[[#This Row],[ENERO]]*5</f>
        <v>3565150</v>
      </c>
      <c r="I38" s="5">
        <f>Tabla1[[#This Row],[FEBRERO]]*80%</f>
        <v>2852120</v>
      </c>
      <c r="J38" s="5">
        <f>SUM(Tabla1[[#This Row],[ENERO]:[FEBRERO]])</f>
        <v>4278180</v>
      </c>
      <c r="K38" s="5">
        <f>Tabla1[[#This Row],[ABRIL]]/2</f>
        <v>2139090</v>
      </c>
      <c r="L38" s="5">
        <f>Tabla1[[#This Row],[FEBRERO]]/2</f>
        <v>1782575</v>
      </c>
      <c r="M38" s="5">
        <f>Tabla1[[#This Row],[ABRIL]]-Tabla1[[#This Row],[ENERO]]</f>
        <v>3565150</v>
      </c>
      <c r="N38" s="5">
        <f>Tabla1[[#This Row],[ENERO]]*3</f>
        <v>2139090</v>
      </c>
      <c r="O38" s="5">
        <f>Tabla1[[#This Row],[FEBRERO]]/4</f>
        <v>891287.5</v>
      </c>
      <c r="P38" s="5">
        <f>AVERAGE(Tabla1[[#This Row],[ENERO]:[JULIO]])</f>
        <v>2699327.8571428573</v>
      </c>
      <c r="Q38" s="5">
        <f>Tabla1[[#This Row],[ABRIL]]*20%+Tabla1[[#This Row],[ABRIL]]</f>
        <v>5133816</v>
      </c>
      <c r="R38" s="5">
        <f>Tabla1[[#This Row],[ENERO]]-Tabla1[[#This Row],[ENERO]]*75%</f>
        <v>178257.5</v>
      </c>
      <c r="S38" s="9">
        <f>SUM(Tabla1[[#This Row],[ENERO]:[DICIEMBRE]])</f>
        <v>29937073.857142858</v>
      </c>
      <c r="T38" s="5" t="str">
        <f>IF(OR(Tabla1[[#This Row],[TOTAL]]&gt;=20000000,Tabla1[[#This Row],[CARGO]]="Ginecológa"),"H.San Vicente de Paul","H.San Juan de Dios")</f>
        <v>H.San Vicente de Paul</v>
      </c>
      <c r="U38" s="5" t="str">
        <f>IF(OR(Tabla1[[#This Row],[TRASLADO]]="H.San Juan de Dios",Tabla1[[#This Row],[CARGO]]="Médico Cirujano"),"Sabaneta","Envigado")</f>
        <v>Sabaneta</v>
      </c>
      <c r="V38" s="5" t="str">
        <f>IF(Tabla1[[#This Row],[OCTUBRE]]&gt;=980000,"Cancum",75000)</f>
        <v>Cancum</v>
      </c>
      <c r="W38" s="5" t="str">
        <f>IF(OR(Tabla1[[#This Row],[CIUDAD]]="Medellín",Tabla1[[#This Row],[CARGO]]="Médico Internista"),"Bogotá","Cali")</f>
        <v>Cali</v>
      </c>
      <c r="X38" s="5" t="str">
        <f>IF(OR(Tabla1[[#This Row],[HOSPITAL]]="Manuel Uribe Angel",Tabla1[[#This Row],[CARGO]]="Pediatra"),"Jefe de Cardiología","Sala de Partos")</f>
        <v>Sala de Partos</v>
      </c>
      <c r="Y38" s="5">
        <f>IF(Tabla1[[#This Row],[SALARIO]]&lt;=4100000,100000,50000)</f>
        <v>50000</v>
      </c>
      <c r="Z38" s="5">
        <f>IF(AND(Tabla1[[#This Row],[SEPTIEMBRE]]&gt;=1500000,Tabla1[[#This Row],[TRASLADO]]="H.San Vicente de Paul"),Tabla1[[#This Row],[SEPTIEMBRE]]*30%,Tabla1[[#This Row],[SEPTIEMBRE]]*15%)</f>
        <v>133693.125</v>
      </c>
      <c r="AA38" s="5" t="str">
        <f>IF(OR(Tabla1[[#This Row],[HOSPITAL]]="Gabriel Jaramillo Piedrahita",Tabla1[[#This Row],[PREMIO]]=75000),"Jefe de Internistas","Ginecología")</f>
        <v>Ginecología</v>
      </c>
      <c r="AB38" s="5">
        <f>IF(AND(Tabla1[[#This Row],[TOTAL]]&gt;=60000000,Tabla1[[#This Row],[NEWSEDE]]="Cali"),Tabla1[[#This Row],[TOTAL]]/3,Tabla1[[#This Row],[TOTAL]]/5)</f>
        <v>5987414.771428572</v>
      </c>
      <c r="AC38" s="5" t="str">
        <f>IF(AND(Tabla1[[#This Row],[HOSPITAL]]="San Vicente de Paul",Tabla1[[#This Row],[CARGO]]="Médico Cirujano"),"Negro",IF(AND(Tabla1[[#This Row],[HOSPITAL]]="San Juan de Dios",Tabla1[[#This Row],[CARGO]]="Ginecóloga"),"Azul","Gris"))</f>
        <v>Negro</v>
      </c>
      <c r="AD38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Lunes</v>
      </c>
    </row>
    <row r="39" spans="1:30" x14ac:dyDescent="0.25">
      <c r="A39" s="8">
        <v>14889007</v>
      </c>
      <c r="B39" s="4" t="s">
        <v>56</v>
      </c>
      <c r="C39" s="3" t="s">
        <v>63</v>
      </c>
      <c r="D39" s="4" t="s">
        <v>65</v>
      </c>
      <c r="E39" s="5" t="s">
        <v>69</v>
      </c>
      <c r="F39" s="5">
        <v>12219400</v>
      </c>
      <c r="G39" s="5">
        <f>Tabla1[[#This Row],[SALARIO]]*10%</f>
        <v>1221940</v>
      </c>
      <c r="H39" s="5">
        <f>Tabla1[[#This Row],[ENERO]]*5</f>
        <v>6109700</v>
      </c>
      <c r="I39" s="5">
        <f>Tabla1[[#This Row],[FEBRERO]]*80%</f>
        <v>4887760</v>
      </c>
      <c r="J39" s="5">
        <f>SUM(Tabla1[[#This Row],[ENERO]:[FEBRERO]])</f>
        <v>7331640</v>
      </c>
      <c r="K39" s="5">
        <f>Tabla1[[#This Row],[ABRIL]]/2</f>
        <v>3665820</v>
      </c>
      <c r="L39" s="5">
        <f>Tabla1[[#This Row],[FEBRERO]]/2</f>
        <v>3054850</v>
      </c>
      <c r="M39" s="5">
        <f>Tabla1[[#This Row],[ABRIL]]-Tabla1[[#This Row],[ENERO]]</f>
        <v>6109700</v>
      </c>
      <c r="N39" s="5">
        <f>Tabla1[[#This Row],[ENERO]]*3</f>
        <v>3665820</v>
      </c>
      <c r="O39" s="5">
        <f>Tabla1[[#This Row],[FEBRERO]]/4</f>
        <v>1527425</v>
      </c>
      <c r="P39" s="5">
        <f>AVERAGE(Tabla1[[#This Row],[ENERO]:[JULIO]])</f>
        <v>4625915.7142857146</v>
      </c>
      <c r="Q39" s="5">
        <f>Tabla1[[#This Row],[ABRIL]]*20%+Tabla1[[#This Row],[ABRIL]]</f>
        <v>8797968</v>
      </c>
      <c r="R39" s="5">
        <f>Tabla1[[#This Row],[ENERO]]-Tabla1[[#This Row],[ENERO]]*75%</f>
        <v>305485</v>
      </c>
      <c r="S39" s="9">
        <f>SUM(Tabla1[[#This Row],[ENERO]:[DICIEMBRE]])</f>
        <v>51304023.714285716</v>
      </c>
      <c r="T39" s="5" t="str">
        <f>IF(OR(Tabla1[[#This Row],[TOTAL]]&gt;=20000000,Tabla1[[#This Row],[CARGO]]="Ginecológa"),"H.San Vicente de Paul","H.San Juan de Dios")</f>
        <v>H.San Vicente de Paul</v>
      </c>
      <c r="U39" s="5" t="str">
        <f>IF(OR(Tabla1[[#This Row],[TRASLADO]]="H.San Juan de Dios",Tabla1[[#This Row],[CARGO]]="Médico Cirujano"),"Sabaneta","Envigado")</f>
        <v>Sabaneta</v>
      </c>
      <c r="V39" s="5" t="str">
        <f>IF(Tabla1[[#This Row],[OCTUBRE]]&gt;=980000,"Cancum",75000)</f>
        <v>Cancum</v>
      </c>
      <c r="W39" s="5" t="str">
        <f>IF(OR(Tabla1[[#This Row],[CIUDAD]]="Medellín",Tabla1[[#This Row],[CARGO]]="Médico Internista"),"Bogotá","Cali")</f>
        <v>Cali</v>
      </c>
      <c r="X39" s="5" t="str">
        <f>IF(OR(Tabla1[[#This Row],[HOSPITAL]]="Manuel Uribe Angel",Tabla1[[#This Row],[CARGO]]="Pediatra"),"Jefe de Cardiología","Sala de Partos")</f>
        <v>Sala de Partos</v>
      </c>
      <c r="Y39" s="5">
        <f>IF(Tabla1[[#This Row],[SALARIO]]&lt;=4100000,100000,50000)</f>
        <v>50000</v>
      </c>
      <c r="Z39" s="5">
        <f>IF(AND(Tabla1[[#This Row],[SEPTIEMBRE]]&gt;=1500000,Tabla1[[#This Row],[TRASLADO]]="H.San Vicente de Paul"),Tabla1[[#This Row],[SEPTIEMBRE]]*30%,Tabla1[[#This Row],[SEPTIEMBRE]]*15%)</f>
        <v>458227.5</v>
      </c>
      <c r="AA39" s="5" t="str">
        <f>IF(OR(Tabla1[[#This Row],[HOSPITAL]]="Gabriel Jaramillo Piedrahita",Tabla1[[#This Row],[PREMIO]]=75000),"Jefe de Internistas","Ginecología")</f>
        <v>Ginecología</v>
      </c>
      <c r="AB39" s="5">
        <f>IF(AND(Tabla1[[#This Row],[TOTAL]]&gt;=60000000,Tabla1[[#This Row],[NEWSEDE]]="Cali"),Tabla1[[#This Row],[TOTAL]]/3,Tabla1[[#This Row],[TOTAL]]/5)</f>
        <v>10260804.742857143</v>
      </c>
      <c r="AC39" s="5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39" s="5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40" spans="1:30" x14ac:dyDescent="0.25">
      <c r="A40" s="13">
        <v>3668427</v>
      </c>
      <c r="B40" s="14" t="s">
        <v>57</v>
      </c>
      <c r="C40" s="15" t="s">
        <v>58</v>
      </c>
      <c r="D40" s="14" t="s">
        <v>65</v>
      </c>
      <c r="E40" s="16" t="s">
        <v>69</v>
      </c>
      <c r="F40" s="16">
        <v>1347500</v>
      </c>
      <c r="G40" s="16">
        <f>Tabla1[[#This Row],[SALARIO]]*10%</f>
        <v>134750</v>
      </c>
      <c r="H40" s="16">
        <f>Tabla1[[#This Row],[ENERO]]*5</f>
        <v>673750</v>
      </c>
      <c r="I40" s="16">
        <f>Tabla1[[#This Row],[FEBRERO]]*80%</f>
        <v>539000</v>
      </c>
      <c r="J40" s="16">
        <f>SUM(Tabla1[[#This Row],[ENERO]:[FEBRERO]])</f>
        <v>808500</v>
      </c>
      <c r="K40" s="16">
        <f>Tabla1[[#This Row],[ABRIL]]/2</f>
        <v>404250</v>
      </c>
      <c r="L40" s="16">
        <f>Tabla1[[#This Row],[FEBRERO]]/2</f>
        <v>336875</v>
      </c>
      <c r="M40" s="16">
        <f>Tabla1[[#This Row],[ABRIL]]-Tabla1[[#This Row],[ENERO]]</f>
        <v>673750</v>
      </c>
      <c r="N40" s="16">
        <f>Tabla1[[#This Row],[ENERO]]*3</f>
        <v>404250</v>
      </c>
      <c r="O40" s="16">
        <f>Tabla1[[#This Row],[FEBRERO]]/4</f>
        <v>168437.5</v>
      </c>
      <c r="P40" s="16">
        <f>AVERAGE(Tabla1[[#This Row],[ENERO]:[JULIO]])</f>
        <v>510125</v>
      </c>
      <c r="Q40" s="16">
        <f>Tabla1[[#This Row],[ABRIL]]*20%+Tabla1[[#This Row],[ABRIL]]</f>
        <v>970200</v>
      </c>
      <c r="R40" s="16">
        <f>Tabla1[[#This Row],[ENERO]]-Tabla1[[#This Row],[ENERO]]*75%</f>
        <v>33687.5</v>
      </c>
      <c r="S40" s="17">
        <f>SUM(Tabla1[[#This Row],[ENERO]:[DICIEMBRE]])</f>
        <v>5657575</v>
      </c>
      <c r="T40" s="16" t="str">
        <f>IF(OR(Tabla1[[#This Row],[TOTAL]]&gt;=20000000,Tabla1[[#This Row],[CARGO]]="Ginecológa"),"H.San Vicente de Paul","H.San Juan de Dios")</f>
        <v>H.San Juan de Dios</v>
      </c>
      <c r="U40" s="16" t="str">
        <f>IF(OR(Tabla1[[#This Row],[TRASLADO]]="H.San Juan de Dios",Tabla1[[#This Row],[CARGO]]="Médico Cirujano"),"Sabaneta","Envigado")</f>
        <v>Sabaneta</v>
      </c>
      <c r="V40" s="16">
        <f>IF(Tabla1[[#This Row],[OCTUBRE]]&gt;=980000,"Cancum",75000)</f>
        <v>75000</v>
      </c>
      <c r="W40" s="16" t="str">
        <f>IF(OR(Tabla1[[#This Row],[CIUDAD]]="Medellín",Tabla1[[#This Row],[CARGO]]="Médico Internista"),"Bogotá","Cali")</f>
        <v>Cali</v>
      </c>
      <c r="X40" s="16" t="str">
        <f>IF(OR(Tabla1[[#This Row],[HOSPITAL]]="Manuel Uribe Angel",Tabla1[[#This Row],[CARGO]]="Pediatra"),"Jefe de Cardiología","Sala de Partos")</f>
        <v>Sala de Partos</v>
      </c>
      <c r="Y40" s="16">
        <f>IF(Tabla1[[#This Row],[SALARIO]]&lt;=4100000,100000,50000)</f>
        <v>100000</v>
      </c>
      <c r="Z40" s="16">
        <f>IF(AND(Tabla1[[#This Row],[SEPTIEMBRE]]&gt;=1500000,Tabla1[[#This Row],[TRASLADO]]="H.San Vicente de Paul"),Tabla1[[#This Row],[SEPTIEMBRE]]*30%,Tabla1[[#This Row],[SEPTIEMBRE]]*15%)</f>
        <v>25265.625</v>
      </c>
      <c r="AA40" s="16" t="str">
        <f>IF(OR(Tabla1[[#This Row],[HOSPITAL]]="Gabriel Jaramillo Piedrahita",Tabla1[[#This Row],[PREMIO]]=75000),"Jefe de Internistas","Ginecología")</f>
        <v>Jefe de Internistas</v>
      </c>
      <c r="AB40" s="16">
        <f>IF(AND(Tabla1[[#This Row],[TOTAL]]&gt;=60000000,Tabla1[[#This Row],[NEWSEDE]]="Cali"),Tabla1[[#This Row],[TOTAL]]/3,Tabla1[[#This Row],[TOTAL]]/5)</f>
        <v>1131515</v>
      </c>
      <c r="AC40" s="16" t="str">
        <f>IF(AND(Tabla1[[#This Row],[HOSPITAL]]="San Vicente de Paul",Tabla1[[#This Row],[CARGO]]="Médico Cirujano"),"Negro",IF(AND(Tabla1[[#This Row],[HOSPITAL]]="San Juan de Dios",Tabla1[[#This Row],[CARGO]]="Ginecóloga"),"Azul","Gris"))</f>
        <v>Gris</v>
      </c>
      <c r="AD40" s="16" t="str">
        <f>IF(OR(Tabla1[[#This Row],[CIUDAD]]="Envigado",Tabla1[[#This Row],[CARGO]]="Ginecóloga"),"Lunes",IF(OR(Tabla1[[#This Row],[CIUDAD]]="Rionegro",Tabla1[[#This Row],[CARGO]]="Médico Cirujano"),"Martes",IF(OR(Tabla1[[#This Row],[CIUDAD]]="Medellín",Tabla1[[#This Row],[CARGO]]="Médico Internista"),"Miercoles","Jueves")))</f>
        <v>Martes</v>
      </c>
    </row>
    <row r="41" spans="1:30" x14ac:dyDescent="0.25">
      <c r="A41" s="18"/>
      <c r="B41" s="19"/>
      <c r="C41" s="20"/>
      <c r="D41" s="19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</row>
  </sheetData>
  <sortState xmlns:xlrd2="http://schemas.microsoft.com/office/spreadsheetml/2017/richdata2" ref="A2:F100">
    <sortCondition ref="B20"/>
  </sortState>
  <phoneticPr fontId="0" type="noConversion"/>
  <conditionalFormatting sqref="T2:T40">
    <cfRule type="cellIs" dxfId="7" priority="3" operator="equal">
      <formula>"San Juan de Dios"</formula>
    </cfRule>
    <cfRule type="cellIs" dxfId="6" priority="4" operator="equal">
      <formula>"San Juan de Dios"</formula>
    </cfRule>
    <cfRule type="cellIs" dxfId="5" priority="7" operator="equal">
      <formula>"San Juan de Dios"</formula>
    </cfRule>
    <cfRule type="cellIs" dxfId="4" priority="8" operator="equal">
      <formula>"San Vicente de Paul"</formula>
    </cfRule>
  </conditionalFormatting>
  <conditionalFormatting sqref="U39">
    <cfRule type="cellIs" dxfId="3" priority="5" operator="equal">
      <formula>"San Juan de Dios"</formula>
    </cfRule>
    <cfRule type="cellIs" dxfId="2" priority="6" operator="equal">
      <formula>"San Juan de Dios"</formula>
    </cfRule>
  </conditionalFormatting>
  <conditionalFormatting sqref="X2:X40">
    <cfRule type="cellIs" dxfId="1" priority="1" operator="equal">
      <formula>"Jefe de Enfermeras"</formula>
    </cfRule>
    <cfRule type="cellIs" dxfId="0" priority="2" operator="equal">
      <formula>"Jefe de Urgencias"</formula>
    </cfRule>
  </conditionalFormatting>
  <printOptions horizontalCentered="1" verticalCentered="1"/>
  <pageMargins left="0.39370078740157483" right="0.39370078740157483" top="0.39370078740157483" bottom="0.39370078740157483" header="0" footer="0"/>
  <pageSetup scale="55" orientation="portrait" r:id="rId1"/>
  <headerFooter alignWithMargins="0"/>
  <legacy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FE618-921B-4354-BCDF-4DE1BCF72BAD}">
  <dimension ref="A1"/>
  <sheetViews>
    <sheetView tabSelected="1" workbookViewId="0">
      <selection activeCell="Q22" sqref="Q22"/>
    </sheetView>
  </sheetViews>
  <sheetFormatPr baseColWidth="10" defaultRowHeight="13.2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Instrucciones</vt:lpstr>
      <vt:lpstr>Empleados 2026</vt:lpstr>
      <vt:lpstr>Muestra dashboard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OSPINA</dc:creator>
  <cp:lastModifiedBy>Oscar Gil</cp:lastModifiedBy>
  <cp:lastPrinted>2011-03-17T14:39:39Z</cp:lastPrinted>
  <dcterms:created xsi:type="dcterms:W3CDTF">2005-12-13T02:27:31Z</dcterms:created>
  <dcterms:modified xsi:type="dcterms:W3CDTF">2026-06-04T20:15:43Z</dcterms:modified>
</cp:coreProperties>
</file>